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defaultThemeVersion="124226"/>
  <mc:AlternateContent xmlns:mc="http://schemas.openxmlformats.org/markup-compatibility/2006">
    <mc:Choice Requires="x15">
      <x15ac:absPath xmlns:x15ac="http://schemas.microsoft.com/office/spreadsheetml/2010/11/ac" url="https://tciusa.sharepoint.com/sites/USSteel/Shared Documents/OH Lorain/Projects/223602.0047 - NOX RACT Study/07 NOx RACT Study/04 App C - Cost Calculations/for Ohio EPA/"/>
    </mc:Choice>
  </mc:AlternateContent>
  <xr:revisionPtr revIDLastSave="70" documentId="8_{95A495B4-9075-4E18-BD91-5943BEA32A1E}" xr6:coauthVersionLast="47" xr6:coauthVersionMax="47" xr10:uidLastSave="{27454AC6-2250-4CAD-B547-CC8EB6731E54}"/>
  <bookViews>
    <workbookView xWindow="14010" yWindow="-16320" windowWidth="29040" windowHeight="15840" activeTab="11" xr2:uid="{A383ABD7-A1D3-4B41-928D-287E16A5E55E}"/>
  </bookViews>
  <sheets>
    <sheet name="P035" sheetId="105" r:id="rId1"/>
    <sheet name="P039" sheetId="106" r:id="rId2"/>
    <sheet name="P040" sheetId="107" r:id="rId3"/>
    <sheet name="Ref Data-&gt;" sheetId="85" r:id="rId4"/>
    <sheet name="Cp Air" sheetId="84" r:id="rId5"/>
    <sheet name="CEMS Cost-&gt;" sheetId="71" r:id="rId6"/>
    <sheet name="Start" sheetId="78" r:id="rId7"/>
    <sheet name="V" sheetId="79" r:id="rId8"/>
    <sheet name="F" sheetId="80" r:id="rId9"/>
    <sheet name="Costs" sheetId="81" r:id="rId10"/>
    <sheet name="Activities" sheetId="82" r:id="rId11"/>
    <sheet name="Summary Info" sheetId="83" r:id="rId12"/>
  </sheets>
  <definedNames>
    <definedName name="_xlnm._FilterDatabase" localSheetId="0" hidden="1">'P035'!$A$2:$F$130</definedName>
    <definedName name="_xlnm._FilterDatabase" localSheetId="1" hidden="1">'P039'!$A$2:$F$130</definedName>
    <definedName name="_xlnm._FilterDatabase" localSheetId="2" hidden="1">'P040'!$A$2:$F$130</definedName>
    <definedName name="_Order1" hidden="1">255</definedName>
    <definedName name="anscount" hidden="1">2</definedName>
    <definedName name="_xlnm.Print_Area" localSheetId="10">Activities!$A$1:$M$107</definedName>
    <definedName name="_xlnm.Print_Area" localSheetId="9">Costs!$A$1:$E$184</definedName>
    <definedName name="_xlnm.Print_Area" localSheetId="8">F!$A$1:$T$57</definedName>
    <definedName name="_xlnm.Print_Area" localSheetId="0">'P035'!$A$1:$F$103</definedName>
    <definedName name="_xlnm.Print_Area" localSheetId="1">'P039'!$A$1:$F$103</definedName>
    <definedName name="_xlnm.Print_Area" localSheetId="2">'P040'!$A$1:$F$103</definedName>
    <definedName name="_xlnm.Print_Area" localSheetId="6">Start!$A$178:$E$222</definedName>
    <definedName name="_xlnm.Print_Area" localSheetId="7">V!$A$1:$T$36</definedName>
    <definedName name="_xlnm.Print_Titles" localSheetId="10">Activities!$1:$4</definedName>
    <definedName name="_xlnm.Print_Titles" localSheetId="9">Costs!$1:$1</definedName>
    <definedName name="_xlnm.Print_Titles" localSheetId="0">'P035'!$1:$2</definedName>
    <definedName name="_xlnm.Print_Titles" localSheetId="1">'P039'!$1:$2</definedName>
    <definedName name="_xlnm.Print_Titles" localSheetId="2">'P040'!$1:$2</definedName>
    <definedName name="sencount" hidden="1">2</definedName>
    <definedName name="wrn.Appendix._.A." localSheetId="0"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1"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localSheetId="2"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A."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B" localSheetId="0"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B" localSheetId="1"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B" localSheetId="2"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B" hidden="1">{#N/A,#N/A,TRUE,"Kiln-NOx-OxRed Scrubber";#N/A,#N/A,TRUE,"Kiln-SO2-Wet Scrubber";#N/A,#N/A,TRUE,"Slaker-PM-Scrubber";#N/A,#N/A,TRUE,"Combo-SO2-Wet Scrubber";#N/A,#N/A,TRUE,"Combo-SO2-DualAlkali";#N/A,#N/A,TRUE,"Combo-SO2-Spray Dryer ESP";#N/A,#N/A,TRUE,"CRU-NOx-OxRed Scrubber";#N/A,#N/A,TRUE,"CRU-SO2-Wet Scrubber";#N/A,#N/A,TRUE,"SDT-PM-Wet ESP";#N/A,#N/A,TRUE,"SDT-VOC-TO";#N/A,#N/A,TRUE,"Package-CO-TO";#N/A,#N/A,TRUE,"Package-PM-Baghouse";#N/A,#N/A,TRUE,"Package-PM-ESP";#N/A,#N/A,TRUE,"Package-PM-Venturi";#N/A,#N/A,TRUE,"Package-NOx-OxRed Scrubber";#N/A,#N/A,TRUE,"Package-NOx-SCR";#N/A,#N/A,TRUE,"Package-SO2-Wet Scrubber";#N/A,#N/A,TRUE,"Package-SO2-Spray Drier ESP";#N/A,#N/A,TRUE,"Power-CO-TO";#N/A,#N/A,TRUE,"Power-PM-Baghouse";#N/A,#N/A,TRUE,"Power-PM-ESP";#N/A,#N/A,TRUE,"Power-PM-Venturi";#N/A,#N/A,TRUE,"Power-NOx-OxRed Scrubber";#N/A,#N/A,TRUE,"Power-NOx-SCR";#N/A,#N/A,TRUE,"Power-SO2-Wet Lime Scrubber";#N/A,#N/A,TRUE,"Power-SO2-Spray Drier ESP";#N/A,#N/A,TRUE,"No.1 PM-VOC-Super";#N/A,#N/A,TRUE,"No.1 PM-VOC-Enhanced"}</definedName>
    <definedName name="wrn.Appendix._.B." localSheetId="0" hidden="1">{#N/A,#N/A,TRUE,"(B-1) LimeKiln";#N/A,#N/A,TRUE,"(B-2) LimeSlaker";#N/A,#N/A,TRUE,"(B-3) Combo";#N/A,#N/A,TRUE,"(B-4) CRF";#N/A,#N/A,TRUE,"(B-5) SDT";#N/A,#N/A,TRUE,"(B-6) Fuel Oil";#N/A,#N/A,TRUE,"(B-7) NaturalGas"}</definedName>
    <definedName name="wrn.Appendix._.B." localSheetId="1" hidden="1">{#N/A,#N/A,TRUE,"(B-1) LimeKiln";#N/A,#N/A,TRUE,"(B-2) LimeSlaker";#N/A,#N/A,TRUE,"(B-3) Combo";#N/A,#N/A,TRUE,"(B-4) CRF";#N/A,#N/A,TRUE,"(B-5) SDT";#N/A,#N/A,TRUE,"(B-6) Fuel Oil";#N/A,#N/A,TRUE,"(B-7) NaturalGas"}</definedName>
    <definedName name="wrn.Appendix._.B." localSheetId="2" hidden="1">{#N/A,#N/A,TRUE,"(B-1) LimeKiln";#N/A,#N/A,TRUE,"(B-2) LimeSlaker";#N/A,#N/A,TRUE,"(B-3) Combo";#N/A,#N/A,TRUE,"(B-4) CRF";#N/A,#N/A,TRUE,"(B-5) SDT";#N/A,#N/A,TRUE,"(B-6) Fuel Oil";#N/A,#N/A,TRUE,"(B-7) NaturalGas"}</definedName>
    <definedName name="wrn.Appendix._.B." hidden="1">{#N/A,#N/A,TRUE,"(B-1) LimeKiln";#N/A,#N/A,TRUE,"(B-2) LimeSlaker";#N/A,#N/A,TRUE,"(B-3) Combo";#N/A,#N/A,TRUE,"(B-4) CRF";#N/A,#N/A,TRUE,"(B-5) SDT";#N/A,#N/A,TRUE,"(B-6) Fuel Oil";#N/A,#N/A,TRUE,"(B-7) NaturalGas"}</definedName>
    <definedName name="wrn.Appendix._.S." localSheetId="0" hidden="1">{#N/A,#N/A,TRUE,"Introduction";#N/A,#N/A,TRUE,"Emissions Inventory";#N/A,#N/A,TRUE,"Source Data"}</definedName>
    <definedName name="wrn.Appendix._.S." localSheetId="1" hidden="1">{#N/A,#N/A,TRUE,"Introduction";#N/A,#N/A,TRUE,"Emissions Inventory";#N/A,#N/A,TRUE,"Source Data"}</definedName>
    <definedName name="wrn.Appendix._.S." localSheetId="2" hidden="1">{#N/A,#N/A,TRUE,"Introduction";#N/A,#N/A,TRUE,"Emissions Inventory";#N/A,#N/A,TRUE,"Source Data"}</definedName>
    <definedName name="wrn.Appendix._.S." hidden="1">{#N/A,#N/A,TRUE,"Introduction";#N/A,#N/A,TRUE,"Emissions Inventory";#N/A,#N/A,TRUE,"Source Data"}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5" i="107" l="1"/>
  <c r="D15" i="106"/>
  <c r="D86" i="105"/>
  <c r="D10" i="107"/>
  <c r="D97" i="107"/>
  <c r="D86" i="107"/>
  <c r="D87" i="107" s="1"/>
  <c r="D85" i="107"/>
  <c r="D57" i="107"/>
  <c r="D42" i="107"/>
  <c r="D41" i="107"/>
  <c r="D23" i="107"/>
  <c r="D19" i="107" s="1"/>
  <c r="D18" i="107"/>
  <c r="D13" i="107"/>
  <c r="D82" i="107" s="1"/>
  <c r="D8" i="107"/>
  <c r="D10" i="106"/>
  <c r="D97" i="106"/>
  <c r="D86" i="106"/>
  <c r="D85" i="106"/>
  <c r="D82" i="106"/>
  <c r="D57" i="106"/>
  <c r="D42" i="106"/>
  <c r="D41" i="106"/>
  <c r="D23" i="106"/>
  <c r="D19" i="106"/>
  <c r="D18" i="106"/>
  <c r="D13" i="106"/>
  <c r="D79" i="106" s="1"/>
  <c r="D8" i="106"/>
  <c r="D10" i="105"/>
  <c r="D8" i="105"/>
  <c r="D75" i="107" l="1"/>
  <c r="D76" i="107" s="1"/>
  <c r="D88" i="107"/>
  <c r="D9" i="107" s="1"/>
  <c r="D39" i="107" s="1"/>
  <c r="D40" i="107" s="1"/>
  <c r="D79" i="107"/>
  <c r="D16" i="107"/>
  <c r="D38" i="107" s="1"/>
  <c r="D43" i="107"/>
  <c r="D87" i="106"/>
  <c r="D88" i="106" s="1"/>
  <c r="D84" i="106" s="1"/>
  <c r="D16" i="106"/>
  <c r="D38" i="106" s="1"/>
  <c r="D44" i="106" s="1"/>
  <c r="D45" i="106" s="1"/>
  <c r="D43" i="106"/>
  <c r="D75" i="106"/>
  <c r="D9" i="106"/>
  <c r="D39" i="106" s="1"/>
  <c r="D40" i="106" s="1"/>
  <c r="D44" i="107" l="1"/>
  <c r="D45" i="107" s="1"/>
  <c r="D50" i="107"/>
  <c r="D102" i="107"/>
  <c r="D101" i="107"/>
  <c r="D84" i="107"/>
  <c r="D101" i="106"/>
  <c r="D102" i="106"/>
  <c r="D47" i="106"/>
  <c r="D48" i="106" s="1"/>
  <c r="D53" i="106"/>
  <c r="D76" i="106"/>
  <c r="D50" i="106"/>
  <c r="D9" i="105"/>
  <c r="D53" i="107" l="1"/>
  <c r="D47" i="107"/>
  <c r="D48" i="107" s="1"/>
  <c r="D51" i="107"/>
  <c r="D54" i="107"/>
  <c r="D51" i="106"/>
  <c r="D54" i="106"/>
  <c r="D46" i="106"/>
  <c r="D81" i="106"/>
  <c r="D83" i="106" s="1"/>
  <c r="D49" i="106"/>
  <c r="D55" i="106" s="1"/>
  <c r="D97" i="105"/>
  <c r="D57" i="105"/>
  <c r="D42" i="105"/>
  <c r="D23" i="105"/>
  <c r="D19" i="105" s="1"/>
  <c r="D18" i="105"/>
  <c r="D70" i="107" l="1"/>
  <c r="D78" i="107"/>
  <c r="D46" i="107"/>
  <c r="D49" i="107" s="1"/>
  <c r="D55" i="107" s="1"/>
  <c r="D81" i="107"/>
  <c r="D83" i="107" s="1"/>
  <c r="D78" i="106"/>
  <c r="D70" i="106"/>
  <c r="D13" i="105"/>
  <c r="D85" i="105"/>
  <c r="D87" i="105"/>
  <c r="D41" i="105"/>
  <c r="D15" i="105" l="1"/>
  <c r="D88" i="105"/>
  <c r="D82" i="105"/>
  <c r="D75" i="105"/>
  <c r="D76" i="105" s="1"/>
  <c r="D16" i="105" l="1"/>
  <c r="D38" i="105" s="1"/>
  <c r="D102" i="105" s="1"/>
  <c r="D43" i="105"/>
  <c r="D44" i="105"/>
  <c r="D50" i="105"/>
  <c r="D101" i="105"/>
  <c r="D84" i="105"/>
  <c r="D39" i="105"/>
  <c r="D40" i="105" s="1"/>
  <c r="A47" i="83"/>
  <c r="A46" i="83"/>
  <c r="A44" i="83"/>
  <c r="A43" i="83"/>
  <c r="A42" i="83"/>
  <c r="A41" i="83"/>
  <c r="A40" i="83"/>
  <c r="A39" i="83"/>
  <c r="A38" i="83"/>
  <c r="A37" i="83"/>
  <c r="A36" i="83"/>
  <c r="A33" i="83"/>
  <c r="A32" i="83"/>
  <c r="A31" i="83"/>
  <c r="B30" i="83"/>
  <c r="A30" i="83"/>
  <c r="A29" i="83"/>
  <c r="A28" i="83"/>
  <c r="A27" i="83"/>
  <c r="E26" i="83"/>
  <c r="D26" i="83"/>
  <c r="C26" i="83"/>
  <c r="B26" i="83"/>
  <c r="A26" i="83"/>
  <c r="D22" i="83"/>
  <c r="C22" i="83"/>
  <c r="A22" i="83"/>
  <c r="D21" i="83"/>
  <c r="C21" i="83"/>
  <c r="A21" i="83"/>
  <c r="A20" i="83"/>
  <c r="D18" i="83"/>
  <c r="C18" i="83"/>
  <c r="A18" i="83"/>
  <c r="D17" i="83"/>
  <c r="C17" i="83"/>
  <c r="A17" i="83"/>
  <c r="D16" i="83"/>
  <c r="C16" i="83"/>
  <c r="A16" i="83"/>
  <c r="D15" i="83"/>
  <c r="C15" i="83"/>
  <c r="A15" i="83"/>
  <c r="D14" i="83"/>
  <c r="C14" i="83"/>
  <c r="A14" i="83"/>
  <c r="A13" i="83"/>
  <c r="D11" i="83"/>
  <c r="C11" i="83"/>
  <c r="A11" i="83"/>
  <c r="D10" i="83"/>
  <c r="C10" i="83"/>
  <c r="A10" i="83"/>
  <c r="D9" i="83"/>
  <c r="C9" i="83"/>
  <c r="A9" i="83"/>
  <c r="D8" i="83"/>
  <c r="C8" i="83"/>
  <c r="A8" i="83"/>
  <c r="D7" i="83"/>
  <c r="C7" i="83"/>
  <c r="A7" i="83"/>
  <c r="D6" i="83"/>
  <c r="C6" i="83"/>
  <c r="A6" i="83"/>
  <c r="D5" i="83"/>
  <c r="C5" i="83"/>
  <c r="A5" i="83"/>
  <c r="D4" i="83"/>
  <c r="C4" i="83"/>
  <c r="A4" i="83"/>
  <c r="D3" i="83"/>
  <c r="C3" i="83"/>
  <c r="A3" i="83"/>
  <c r="D175" i="81"/>
  <c r="D38" i="83" s="1"/>
  <c r="C167" i="81"/>
  <c r="C30" i="83" s="1"/>
  <c r="B167" i="81"/>
  <c r="C150" i="81"/>
  <c r="C180" i="81" s="1"/>
  <c r="C43" i="83" s="1"/>
  <c r="D146" i="81"/>
  <c r="C142" i="81"/>
  <c r="C179" i="81" s="1"/>
  <c r="C42" i="83" s="1"/>
  <c r="C135" i="81"/>
  <c r="C178" i="81" s="1"/>
  <c r="C41" i="83" s="1"/>
  <c r="D105" i="81"/>
  <c r="C93" i="81"/>
  <c r="B71" i="81"/>
  <c r="C53" i="81"/>
  <c r="C168" i="81" s="1"/>
  <c r="C31" i="83" s="1"/>
  <c r="D49" i="81"/>
  <c r="C31" i="81"/>
  <c r="C166" i="81" s="1"/>
  <c r="C29" i="83" s="1"/>
  <c r="B31" i="81"/>
  <c r="B166" i="81" s="1"/>
  <c r="C23" i="81"/>
  <c r="C165" i="81" s="1"/>
  <c r="C28" i="83" s="1"/>
  <c r="C10" i="81"/>
  <c r="E73" i="80"/>
  <c r="B73" i="80"/>
  <c r="B72" i="80"/>
  <c r="E72" i="80" s="1"/>
  <c r="B69" i="80"/>
  <c r="E69" i="80" s="1"/>
  <c r="B68" i="80"/>
  <c r="E68" i="80" s="1"/>
  <c r="D56" i="81" s="1"/>
  <c r="H64" i="80"/>
  <c r="E64" i="80"/>
  <c r="B64" i="80"/>
  <c r="B59" i="80"/>
  <c r="B30" i="80" s="1"/>
  <c r="B58" i="80"/>
  <c r="E58" i="80" s="1"/>
  <c r="H56" i="80"/>
  <c r="E56" i="80"/>
  <c r="B56" i="80"/>
  <c r="B55" i="80"/>
  <c r="E54" i="80"/>
  <c r="B54" i="80"/>
  <c r="B53" i="80"/>
  <c r="E53" i="80" s="1"/>
  <c r="T48" i="80" s="1"/>
  <c r="B52" i="80"/>
  <c r="K59" i="80" s="1"/>
  <c r="B50" i="80"/>
  <c r="H50" i="80" s="1"/>
  <c r="N25" i="80" s="1"/>
  <c r="E49" i="80"/>
  <c r="H49" i="80" s="1"/>
  <c r="B49" i="80"/>
  <c r="E48" i="80"/>
  <c r="B36" i="80" s="1"/>
  <c r="E36" i="80" s="1"/>
  <c r="B48" i="80"/>
  <c r="N33" i="80" s="1"/>
  <c r="B46" i="80"/>
  <c r="T62" i="80" s="1"/>
  <c r="B45" i="80"/>
  <c r="B44" i="80"/>
  <c r="G43" i="80"/>
  <c r="B43" i="80"/>
  <c r="E43" i="80" s="1"/>
  <c r="B42" i="80"/>
  <c r="T61" i="80" s="1"/>
  <c r="B41" i="80"/>
  <c r="E40" i="80"/>
  <c r="B40" i="80"/>
  <c r="E39" i="80"/>
  <c r="B39" i="80"/>
  <c r="H39" i="80" s="1"/>
  <c r="H40" i="80" s="1"/>
  <c r="J32" i="80"/>
  <c r="J33" i="80" s="1"/>
  <c r="H32" i="80"/>
  <c r="N31" i="80"/>
  <c r="D34" i="81" s="1"/>
  <c r="B26" i="80"/>
  <c r="E26" i="80" s="1"/>
  <c r="T14" i="80" s="1"/>
  <c r="E24" i="80"/>
  <c r="Q23" i="80"/>
  <c r="Q22" i="80"/>
  <c r="Q16" i="80"/>
  <c r="Q15" i="80"/>
  <c r="Q14" i="80"/>
  <c r="Q11" i="80"/>
  <c r="Q10" i="80"/>
  <c r="D28" i="81" s="1"/>
  <c r="H10" i="80"/>
  <c r="H9" i="80"/>
  <c r="Q6" i="80"/>
  <c r="H4" i="80"/>
  <c r="H3" i="80"/>
  <c r="T61" i="79"/>
  <c r="T60" i="79"/>
  <c r="T59" i="79"/>
  <c r="T58" i="79"/>
  <c r="T54" i="79"/>
  <c r="T53" i="79"/>
  <c r="T52" i="79"/>
  <c r="T48" i="79"/>
  <c r="T47" i="79"/>
  <c r="T46" i="79"/>
  <c r="T45" i="79"/>
  <c r="T42" i="79"/>
  <c r="T41" i="79"/>
  <c r="D43" i="81" s="1"/>
  <c r="T40" i="79"/>
  <c r="T39" i="79"/>
  <c r="T38" i="79"/>
  <c r="T37" i="79"/>
  <c r="H37" i="79"/>
  <c r="T36" i="79"/>
  <c r="D35" i="81" s="1"/>
  <c r="T34" i="79"/>
  <c r="T32" i="79"/>
  <c r="T31" i="79"/>
  <c r="T30" i="79"/>
  <c r="T29" i="79"/>
  <c r="T28" i="79"/>
  <c r="H28" i="79"/>
  <c r="T27" i="79"/>
  <c r="T26" i="79"/>
  <c r="T25" i="79"/>
  <c r="T24" i="79"/>
  <c r="T23" i="79"/>
  <c r="T22" i="79"/>
  <c r="T21" i="79"/>
  <c r="T20" i="79"/>
  <c r="T19" i="79"/>
  <c r="T18" i="79"/>
  <c r="T17" i="79"/>
  <c r="T16" i="79"/>
  <c r="H16" i="79"/>
  <c r="T15" i="79"/>
  <c r="T11" i="79"/>
  <c r="T10" i="79"/>
  <c r="T8" i="79"/>
  <c r="Z6" i="79"/>
  <c r="T6" i="79"/>
  <c r="Z5" i="79"/>
  <c r="T5" i="79"/>
  <c r="Z4" i="79"/>
  <c r="T4" i="79"/>
  <c r="Z3" i="79"/>
  <c r="T2" i="79"/>
  <c r="T1" i="79"/>
  <c r="K121" i="78"/>
  <c r="B121" i="78"/>
  <c r="K120" i="78"/>
  <c r="B120" i="78"/>
  <c r="T7" i="79" s="1"/>
  <c r="K119" i="78"/>
  <c r="B119" i="78"/>
  <c r="K1" i="79" s="1"/>
  <c r="B99" i="78"/>
  <c r="D45" i="105" l="1"/>
  <c r="D47" i="105" s="1"/>
  <c r="D48" i="105" s="1"/>
  <c r="D54" i="105"/>
  <c r="D51" i="105"/>
  <c r="E5" i="80"/>
  <c r="B34" i="80"/>
  <c r="E34" i="80" s="1"/>
  <c r="N34" i="80"/>
  <c r="B27" i="80"/>
  <c r="E27" i="80" s="1"/>
  <c r="T50" i="80" s="1"/>
  <c r="E4" i="80"/>
  <c r="B28" i="80"/>
  <c r="E28" i="80" s="1"/>
  <c r="Q3" i="80" s="1"/>
  <c r="D29" i="81" s="1"/>
  <c r="B66" i="80"/>
  <c r="E66" i="80" s="1"/>
  <c r="H24" i="80" s="1"/>
  <c r="Q7" i="80"/>
  <c r="D26" i="81" s="1"/>
  <c r="E30" i="80"/>
  <c r="T33" i="80" s="1"/>
  <c r="Q25" i="80"/>
  <c r="T11" i="80"/>
  <c r="B101" i="81" s="1"/>
  <c r="T43" i="79"/>
  <c r="E21" i="80"/>
  <c r="D123" i="81" s="1"/>
  <c r="D126" i="81" s="1"/>
  <c r="D177" i="81" s="1"/>
  <c r="D40" i="83" s="1"/>
  <c r="N6" i="80"/>
  <c r="B32" i="80"/>
  <c r="E32" i="80" s="1"/>
  <c r="H6" i="80" s="1"/>
  <c r="N2" i="80"/>
  <c r="B29" i="80"/>
  <c r="B1" i="80"/>
  <c r="B31" i="80"/>
  <c r="K50" i="80"/>
  <c r="M50" i="80" s="1"/>
  <c r="N39" i="80" s="1"/>
  <c r="E2" i="80"/>
  <c r="B65" i="80"/>
  <c r="E65" i="80" s="1"/>
  <c r="H17" i="80" s="1"/>
  <c r="N23" i="80"/>
  <c r="N36" i="80"/>
  <c r="B29" i="83"/>
  <c r="B76" i="80"/>
  <c r="E8" i="80"/>
  <c r="K60" i="80"/>
  <c r="E19" i="80"/>
  <c r="H33" i="80"/>
  <c r="H19" i="80" s="1"/>
  <c r="D21" i="81" s="1"/>
  <c r="B35" i="80"/>
  <c r="E35" i="80" s="1"/>
  <c r="B37" i="80"/>
  <c r="N50" i="80"/>
  <c r="D41" i="81" s="1"/>
  <c r="E62" i="80"/>
  <c r="B70" i="80"/>
  <c r="E70" i="80" s="1"/>
  <c r="B103" i="81"/>
  <c r="C164" i="81"/>
  <c r="C174" i="81"/>
  <c r="N37" i="80"/>
  <c r="K49" i="80"/>
  <c r="E67" i="80"/>
  <c r="B74" i="80"/>
  <c r="B56" i="81"/>
  <c r="H67" i="80"/>
  <c r="B71" i="80"/>
  <c r="B69" i="81"/>
  <c r="T5" i="80"/>
  <c r="D90" i="81" s="1"/>
  <c r="H16" i="80"/>
  <c r="D58" i="81" s="1"/>
  <c r="T43" i="80"/>
  <c r="E52" i="80"/>
  <c r="B75" i="80"/>
  <c r="N28" i="80"/>
  <c r="D37" i="81" s="1"/>
  <c r="T3" i="79"/>
  <c r="N20" i="80"/>
  <c r="N32" i="80"/>
  <c r="D40" i="81" s="1"/>
  <c r="T38" i="80"/>
  <c r="H52" i="80"/>
  <c r="B86" i="81"/>
  <c r="Q36" i="80"/>
  <c r="B88" i="81"/>
  <c r="D53" i="105" l="1"/>
  <c r="D81" i="105"/>
  <c r="D83" i="105" s="1"/>
  <c r="D46" i="105"/>
  <c r="D49" i="105" s="1"/>
  <c r="D55" i="105" s="1"/>
  <c r="D70" i="105"/>
  <c r="D78" i="105"/>
  <c r="B15" i="81"/>
  <c r="D6" i="81"/>
  <c r="K28" i="80"/>
  <c r="C111" i="81" s="1"/>
  <c r="Q24" i="80"/>
  <c r="B3" i="81" s="1"/>
  <c r="B3" i="80"/>
  <c r="B4" i="81" s="1"/>
  <c r="H28" i="80"/>
  <c r="T41" i="80"/>
  <c r="T37" i="80"/>
  <c r="T47" i="80"/>
  <c r="T27" i="80"/>
  <c r="B119" i="81"/>
  <c r="B109" i="81"/>
  <c r="B110" i="81"/>
  <c r="B120" i="81"/>
  <c r="C112" i="81"/>
  <c r="B124" i="81"/>
  <c r="E31" i="80"/>
  <c r="Q26" i="80" s="1"/>
  <c r="B11" i="80"/>
  <c r="T36" i="80"/>
  <c r="D38" i="81"/>
  <c r="E12" i="80"/>
  <c r="B16" i="81" s="1"/>
  <c r="C123" i="81"/>
  <c r="B112" i="81"/>
  <c r="Q30" i="80"/>
  <c r="B17" i="81" s="1"/>
  <c r="C122" i="81"/>
  <c r="C113" i="81"/>
  <c r="B111" i="81"/>
  <c r="T31" i="80"/>
  <c r="D113" i="81"/>
  <c r="D116" i="81" s="1"/>
  <c r="D176" i="81" s="1"/>
  <c r="D39" i="83" s="1"/>
  <c r="T30" i="80"/>
  <c r="T25" i="80"/>
  <c r="B121" i="81"/>
  <c r="B122" i="81"/>
  <c r="B108" i="81"/>
  <c r="B114" i="81"/>
  <c r="K2" i="80"/>
  <c r="B66" i="81" s="1"/>
  <c r="E7" i="80"/>
  <c r="B14" i="81" s="1"/>
  <c r="H13" i="80"/>
  <c r="E29" i="80"/>
  <c r="E13" i="80" s="1"/>
  <c r="D50" i="81"/>
  <c r="H12" i="80"/>
  <c r="B72" i="81" s="1"/>
  <c r="K4" i="80"/>
  <c r="K3" i="80"/>
  <c r="B67" i="81" s="1"/>
  <c r="N10" i="80"/>
  <c r="T10" i="80"/>
  <c r="T44" i="80"/>
  <c r="N13" i="80"/>
  <c r="T26" i="80"/>
  <c r="T22" i="80"/>
  <c r="B132" i="81" s="1"/>
  <c r="N19" i="80"/>
  <c r="K11" i="80"/>
  <c r="T32" i="80"/>
  <c r="D140" i="81" s="1"/>
  <c r="D142" i="81" s="1"/>
  <c r="D179" i="81" s="1"/>
  <c r="D42" i="83" s="1"/>
  <c r="T20" i="80"/>
  <c r="T13" i="80"/>
  <c r="C101" i="81" s="1"/>
  <c r="Q37" i="80"/>
  <c r="D18" i="81" s="1"/>
  <c r="Q35" i="80"/>
  <c r="T24" i="80"/>
  <c r="T16" i="80"/>
  <c r="B20" i="81"/>
  <c r="B7" i="80"/>
  <c r="B5" i="81" s="1"/>
  <c r="B5" i="80"/>
  <c r="D4" i="81" s="1"/>
  <c r="T49" i="80"/>
  <c r="B13" i="80"/>
  <c r="B18" i="81" s="1"/>
  <c r="T12" i="80"/>
  <c r="E10" i="80"/>
  <c r="T21" i="80"/>
  <c r="B131" i="81" s="1"/>
  <c r="T8" i="80"/>
  <c r="B96" i="81" s="1"/>
  <c r="E74" i="80"/>
  <c r="T45" i="80" s="1"/>
  <c r="D130" i="81" s="1"/>
  <c r="K9" i="80"/>
  <c r="B6" i="80"/>
  <c r="B6" i="81" s="1"/>
  <c r="B25" i="80"/>
  <c r="B8" i="80" s="1"/>
  <c r="E6" i="80"/>
  <c r="B49" i="81" s="1"/>
  <c r="B33" i="80"/>
  <c r="E11" i="80"/>
  <c r="T4" i="80"/>
  <c r="B90" i="81" s="1"/>
  <c r="Q31" i="80"/>
  <c r="D17" i="81" s="1"/>
  <c r="E71" i="80"/>
  <c r="D71" i="80"/>
  <c r="D19" i="81"/>
  <c r="E75" i="80"/>
  <c r="H23" i="80" s="1"/>
  <c r="B21" i="81" s="1"/>
  <c r="T29" i="80"/>
  <c r="T28" i="80"/>
  <c r="K67" i="80"/>
  <c r="H22" i="80" s="1"/>
  <c r="B58" i="81" s="1"/>
  <c r="M49" i="80"/>
  <c r="T19" i="80" s="1"/>
  <c r="B130" i="81" s="1"/>
  <c r="C37" i="83"/>
  <c r="N11" i="80"/>
  <c r="T58" i="80"/>
  <c r="B129" i="81" s="1"/>
  <c r="E76" i="80"/>
  <c r="E17" i="80" s="1"/>
  <c r="T57" i="80"/>
  <c r="D147" i="81"/>
  <c r="D36" i="81"/>
  <c r="T55" i="80"/>
  <c r="T46" i="80"/>
  <c r="D91" i="81" s="1"/>
  <c r="D93" i="81" s="1"/>
  <c r="C27" i="83"/>
  <c r="C116" i="81" l="1"/>
  <c r="C176" i="81" s="1"/>
  <c r="C39" i="83" s="1"/>
  <c r="B146" i="81"/>
  <c r="D10" i="81"/>
  <c r="D164" i="81" s="1"/>
  <c r="C126" i="81"/>
  <c r="C177" i="81" s="1"/>
  <c r="C40" i="83" s="1"/>
  <c r="B147" i="81"/>
  <c r="B140" i="81"/>
  <c r="B7" i="81"/>
  <c r="B126" i="81"/>
  <c r="B177" i="81" s="1"/>
  <c r="B116" i="81"/>
  <c r="B176" i="81" s="1"/>
  <c r="B138" i="81"/>
  <c r="D23" i="81"/>
  <c r="D165" i="81" s="1"/>
  <c r="D28" i="83" s="1"/>
  <c r="Q1" i="80"/>
  <c r="D27" i="81" s="1"/>
  <c r="D31" i="81" s="1"/>
  <c r="D166" i="81" s="1"/>
  <c r="D29" i="83" s="1"/>
  <c r="B50" i="81"/>
  <c r="T56" i="80"/>
  <c r="B99" i="81" s="1"/>
  <c r="N1" i="80"/>
  <c r="B13" i="81" s="1"/>
  <c r="E23" i="80"/>
  <c r="C57" i="81" s="1"/>
  <c r="B10" i="80"/>
  <c r="B8" i="81" s="1"/>
  <c r="B51" i="81"/>
  <c r="D51" i="81"/>
  <c r="D53" i="81" s="1"/>
  <c r="D168" i="81" s="1"/>
  <c r="D31" i="83" s="1"/>
  <c r="C71" i="81"/>
  <c r="B100" i="81"/>
  <c r="C100" i="81"/>
  <c r="B139" i="81"/>
  <c r="D57" i="81"/>
  <c r="T2" i="80"/>
  <c r="B85" i="81" s="1"/>
  <c r="D59" i="81"/>
  <c r="C60" i="81"/>
  <c r="B19" i="81"/>
  <c r="D133" i="81"/>
  <c r="D132" i="81"/>
  <c r="T7" i="80"/>
  <c r="B89" i="81" s="1"/>
  <c r="D67" i="81"/>
  <c r="D145" i="81"/>
  <c r="D150" i="81" s="1"/>
  <c r="D180" i="81" s="1"/>
  <c r="D43" i="83" s="1"/>
  <c r="B73" i="81"/>
  <c r="C73" i="81"/>
  <c r="D73" i="81"/>
  <c r="D68" i="81"/>
  <c r="B68" i="81"/>
  <c r="C68" i="81"/>
  <c r="E33" i="80"/>
  <c r="E14" i="80" s="1"/>
  <c r="C69" i="81" s="1"/>
  <c r="T1" i="80"/>
  <c r="B84" i="81" s="1"/>
  <c r="T40" i="80"/>
  <c r="B87" i="81" s="1"/>
  <c r="B145" i="81"/>
  <c r="B97" i="81"/>
  <c r="B98" i="81"/>
  <c r="B70" i="81"/>
  <c r="B61" i="81"/>
  <c r="H14" i="80"/>
  <c r="D174" i="81"/>
  <c r="C102" i="81"/>
  <c r="B133" i="81"/>
  <c r="B135" i="81" s="1"/>
  <c r="B178" i="81" s="1"/>
  <c r="Q34" i="80"/>
  <c r="D39" i="81" s="1"/>
  <c r="T59" i="80"/>
  <c r="B148" i="81" s="1"/>
  <c r="E176" i="81" l="1"/>
  <c r="E39" i="83" s="1"/>
  <c r="E177" i="81"/>
  <c r="E40" i="83" s="1"/>
  <c r="B40" i="83"/>
  <c r="B10" i="81"/>
  <c r="B164" i="81" s="1"/>
  <c r="B27" i="83" s="1"/>
  <c r="B57" i="81"/>
  <c r="B142" i="81"/>
  <c r="B179" i="81" s="1"/>
  <c r="E179" i="81" s="1"/>
  <c r="E42" i="83" s="1"/>
  <c r="B53" i="81"/>
  <c r="B168" i="81" s="1"/>
  <c r="E168" i="81" s="1"/>
  <c r="E31" i="83" s="1"/>
  <c r="B39" i="83"/>
  <c r="E166" i="81"/>
  <c r="E29" i="83" s="1"/>
  <c r="D135" i="81"/>
  <c r="D178" i="81" s="1"/>
  <c r="D41" i="83" s="1"/>
  <c r="C99" i="81"/>
  <c r="C105" i="81" s="1"/>
  <c r="C175" i="81" s="1"/>
  <c r="B23" i="81"/>
  <c r="B165" i="81" s="1"/>
  <c r="D75" i="81"/>
  <c r="D170" i="81" s="1"/>
  <c r="D33" i="83" s="1"/>
  <c r="D44" i="81"/>
  <c r="D46" i="81" s="1"/>
  <c r="D167" i="81" s="1"/>
  <c r="B105" i="81"/>
  <c r="B175" i="81" s="1"/>
  <c r="B38" i="83" s="1"/>
  <c r="B41" i="83"/>
  <c r="C59" i="81"/>
  <c r="C63" i="81" s="1"/>
  <c r="B59" i="81"/>
  <c r="B75" i="81"/>
  <c r="B170" i="81" s="1"/>
  <c r="C75" i="81"/>
  <c r="C170" i="81" s="1"/>
  <c r="C33" i="83" s="1"/>
  <c r="B150" i="81"/>
  <c r="B180" i="81" s="1"/>
  <c r="D27" i="83"/>
  <c r="D63" i="81"/>
  <c r="D169" i="81" s="1"/>
  <c r="D32" i="83" s="1"/>
  <c r="D37" i="83"/>
  <c r="B93" i="81"/>
  <c r="E164" i="81" l="1"/>
  <c r="E27" i="83" s="1"/>
  <c r="B63" i="81"/>
  <c r="B31" i="83"/>
  <c r="B42" i="83"/>
  <c r="D183" i="81"/>
  <c r="D46" i="83" s="1"/>
  <c r="B169" i="81"/>
  <c r="B77" i="81"/>
  <c r="E165" i="81"/>
  <c r="E28" i="83" s="1"/>
  <c r="B28" i="83"/>
  <c r="B174" i="81"/>
  <c r="C38" i="83"/>
  <c r="C183" i="81"/>
  <c r="C46" i="83" s="1"/>
  <c r="D77" i="81"/>
  <c r="D152" i="81" s="1"/>
  <c r="B33" i="83"/>
  <c r="E170" i="81"/>
  <c r="E33" i="83" s="1"/>
  <c r="E167" i="81"/>
  <c r="E30" i="83" s="1"/>
  <c r="D30" i="83"/>
  <c r="C169" i="81"/>
  <c r="C77" i="81"/>
  <c r="C152" i="81" s="1"/>
  <c r="E175" i="81"/>
  <c r="E38" i="83" s="1"/>
  <c r="D171" i="81"/>
  <c r="D34" i="83" s="1"/>
  <c r="E178" i="81"/>
  <c r="E41" i="83" s="1"/>
  <c r="B43" i="83"/>
  <c r="E180" i="81"/>
  <c r="E43" i="83" s="1"/>
  <c r="C181" i="81" l="1"/>
  <c r="C154" i="81"/>
  <c r="B37" i="83"/>
  <c r="B183" i="81"/>
  <c r="B46" i="83" s="1"/>
  <c r="E174" i="81"/>
  <c r="E169" i="81"/>
  <c r="E32" i="83" s="1"/>
  <c r="B32" i="83"/>
  <c r="C32" i="83"/>
  <c r="C171" i="81"/>
  <c r="C34" i="83" s="1"/>
  <c r="B171" i="81"/>
  <c r="D181" i="81"/>
  <c r="D154" i="81"/>
  <c r="D79" i="81"/>
  <c r="B152" i="81"/>
  <c r="D58" i="107" l="1"/>
  <c r="D59" i="107" s="1"/>
  <c r="D58" i="106"/>
  <c r="D59" i="106" s="1"/>
  <c r="D58" i="105"/>
  <c r="D59" i="105" s="1"/>
  <c r="E37" i="83"/>
  <c r="E183" i="81"/>
  <c r="E46" i="83" s="1"/>
  <c r="B181" i="81"/>
  <c r="B154" i="81"/>
  <c r="D156" i="81" s="1"/>
  <c r="D44" i="83"/>
  <c r="D184" i="81"/>
  <c r="D47" i="83" s="1"/>
  <c r="E171" i="81"/>
  <c r="E34" i="83" s="1"/>
  <c r="B34" i="83"/>
  <c r="C44" i="83"/>
  <c r="C184" i="81"/>
  <c r="C47" i="83" s="1"/>
  <c r="D80" i="107" l="1"/>
  <c r="D80" i="106"/>
  <c r="D63" i="106"/>
  <c r="D62" i="106"/>
  <c r="D64" i="106"/>
  <c r="D63" i="107"/>
  <c r="D62" i="107"/>
  <c r="D64" i="107"/>
  <c r="D80" i="105"/>
  <c r="E181" i="81"/>
  <c r="E44" i="83" s="1"/>
  <c r="B44" i="83"/>
  <c r="B184" i="81"/>
  <c r="D65" i="107" l="1"/>
  <c r="D66" i="107" s="1"/>
  <c r="D68" i="107" s="1"/>
  <c r="D69" i="107" s="1"/>
  <c r="D71" i="107" s="1"/>
  <c r="D72" i="107" s="1"/>
  <c r="D65" i="106"/>
  <c r="D66" i="106" s="1"/>
  <c r="D68" i="106" s="1"/>
  <c r="D62" i="105"/>
  <c r="D64" i="105"/>
  <c r="D63" i="105"/>
  <c r="E184" i="81"/>
  <c r="E47" i="83" s="1"/>
  <c r="B47" i="83"/>
  <c r="D98" i="107" l="1"/>
  <c r="D77" i="107"/>
  <c r="D91" i="107" s="1"/>
  <c r="D69" i="106"/>
  <c r="D71" i="106" s="1"/>
  <c r="D72" i="106" s="1"/>
  <c r="D65" i="105"/>
  <c r="D79" i="105"/>
  <c r="D89" i="107" l="1"/>
  <c r="D92" i="107"/>
  <c r="D93" i="107" s="1"/>
  <c r="D77" i="106"/>
  <c r="D98" i="106"/>
  <c r="D66" i="105"/>
  <c r="D68" i="105" s="1"/>
  <c r="D99" i="107" l="1"/>
  <c r="D103" i="107" s="1"/>
  <c r="D69" i="105"/>
  <c r="D71" i="105" s="1"/>
  <c r="D72" i="105" s="1"/>
  <c r="D98" i="105" s="1"/>
  <c r="D91" i="106"/>
  <c r="D92" i="106"/>
  <c r="D89" i="106"/>
  <c r="D93" i="106" l="1"/>
  <c r="D99" i="106" s="1"/>
  <c r="D77" i="105"/>
  <c r="D92" i="105" l="1"/>
  <c r="D89" i="105"/>
  <c r="D99" i="105" s="1"/>
  <c r="D103" i="106"/>
  <c r="D91" i="105"/>
  <c r="D93" i="105" s="1"/>
  <c r="D103" i="105" l="1"/>
</calcChain>
</file>

<file path=xl/sharedStrings.xml><?xml version="1.0" encoding="utf-8"?>
<sst xmlns="http://schemas.openxmlformats.org/spreadsheetml/2006/main" count="2185" uniqueCount="1225">
  <si>
    <t>lb/MMBtu</t>
  </si>
  <si>
    <t>Parameter</t>
  </si>
  <si>
    <t>Variable</t>
  </si>
  <si>
    <t>Calculation</t>
  </si>
  <si>
    <t>Cost</t>
  </si>
  <si>
    <t>Units</t>
  </si>
  <si>
    <t>Reference</t>
  </si>
  <si>
    <t>Location</t>
  </si>
  <si>
    <t>Unit Identifier</t>
  </si>
  <si>
    <t>Unit Operating Parameters</t>
  </si>
  <si>
    <t>Heat Input Rate</t>
  </si>
  <si>
    <r>
      <t>Q</t>
    </r>
    <r>
      <rPr>
        <vertAlign val="subscript"/>
        <sz val="10"/>
        <color theme="1"/>
        <rFont val="Tahoma"/>
        <family val="2"/>
      </rPr>
      <t>B</t>
    </r>
  </si>
  <si>
    <t>MMBtu/hr</t>
  </si>
  <si>
    <t>Maximum Heat Input Rate</t>
  </si>
  <si>
    <t>Exhaust Gas Temperature</t>
  </si>
  <si>
    <t>T</t>
  </si>
  <si>
    <t>deg F</t>
  </si>
  <si>
    <t>Exhaust Gas Flow</t>
  </si>
  <si>
    <r>
      <t>q</t>
    </r>
    <r>
      <rPr>
        <vertAlign val="subscript"/>
        <sz val="10"/>
        <color theme="1"/>
        <rFont val="Tahoma"/>
        <family val="2"/>
      </rPr>
      <t>fluegas</t>
    </r>
  </si>
  <si>
    <t>scfm*(14.7 psi/14.7 psi)*(T+460)/ (68°F+460)</t>
  </si>
  <si>
    <t>acfm</t>
  </si>
  <si>
    <r>
      <t>NOx</t>
    </r>
    <r>
      <rPr>
        <vertAlign val="subscript"/>
        <sz val="10"/>
        <color theme="1"/>
        <rFont val="Tahoma"/>
        <family val="2"/>
      </rPr>
      <t>annual</t>
    </r>
  </si>
  <si>
    <t>tpy</t>
  </si>
  <si>
    <t>Annual Unit Operating Hours</t>
  </si>
  <si>
    <t>AOH</t>
  </si>
  <si>
    <t>hr/yr</t>
  </si>
  <si>
    <t>SCR Control Efficiency</t>
  </si>
  <si>
    <t>e</t>
  </si>
  <si>
    <t>Maximum efficiency</t>
  </si>
  <si>
    <t>%</t>
  </si>
  <si>
    <t>SCR Operating Hours</t>
  </si>
  <si>
    <r>
      <t>t</t>
    </r>
    <r>
      <rPr>
        <vertAlign val="subscript"/>
        <sz val="10"/>
        <color theme="1"/>
        <rFont val="Tahoma"/>
        <family val="2"/>
      </rPr>
      <t>SCR</t>
    </r>
  </si>
  <si>
    <t>Maximum operation</t>
  </si>
  <si>
    <t>Assuming 100% uptime; Operated 100% of time during unit operation</t>
  </si>
  <si>
    <t>Inlet Concentration</t>
  </si>
  <si>
    <r>
      <t>NOx</t>
    </r>
    <r>
      <rPr>
        <vertAlign val="subscript"/>
        <sz val="10"/>
        <color theme="1"/>
        <rFont val="Tahoma"/>
        <family val="2"/>
      </rPr>
      <t>in</t>
    </r>
  </si>
  <si>
    <r>
      <t>(NOx</t>
    </r>
    <r>
      <rPr>
        <vertAlign val="subscript"/>
        <sz val="10"/>
        <color theme="1"/>
        <rFont val="Tahoma"/>
        <family val="2"/>
      </rPr>
      <t>annual</t>
    </r>
    <r>
      <rPr>
        <sz val="10"/>
        <color theme="1"/>
        <rFont val="Tahoma"/>
        <family val="2"/>
      </rPr>
      <t>*2,000 lb/ton) / (Q</t>
    </r>
    <r>
      <rPr>
        <vertAlign val="subscript"/>
        <sz val="10"/>
        <color theme="1"/>
        <rFont val="Tahoma"/>
        <family val="2"/>
      </rPr>
      <t>B</t>
    </r>
    <r>
      <rPr>
        <sz val="10"/>
        <color theme="1"/>
        <rFont val="Tahoma"/>
        <family val="2"/>
      </rPr>
      <t>*AOH)</t>
    </r>
  </si>
  <si>
    <t>Calculation at maximum heat input rate.</t>
  </si>
  <si>
    <t>Outlet Concentration</t>
  </si>
  <si>
    <r>
      <t>NOx</t>
    </r>
    <r>
      <rPr>
        <vertAlign val="subscript"/>
        <sz val="10"/>
        <color theme="1"/>
        <rFont val="Tahoma"/>
        <family val="2"/>
      </rPr>
      <t>out</t>
    </r>
  </si>
  <si>
    <r>
      <t>NOx</t>
    </r>
    <r>
      <rPr>
        <vertAlign val="subscript"/>
        <sz val="10"/>
        <color theme="1"/>
        <rFont val="Tahoma"/>
        <family val="2"/>
      </rPr>
      <t>in</t>
    </r>
    <r>
      <rPr>
        <sz val="10"/>
        <color theme="1"/>
        <rFont val="Tahoma"/>
        <family val="2"/>
      </rPr>
      <t>*(1-</t>
    </r>
    <r>
      <rPr>
        <i/>
        <sz val="10"/>
        <color theme="1"/>
        <rFont val="Tahoma"/>
        <family val="2"/>
      </rPr>
      <t>e</t>
    </r>
    <r>
      <rPr>
        <sz val="10"/>
        <color theme="1"/>
        <rFont val="Tahoma"/>
        <family val="2"/>
      </rPr>
      <t>)</t>
    </r>
  </si>
  <si>
    <t>Based on SCR control efficiency; Assumes operation at maximum heat input rate.</t>
  </si>
  <si>
    <t>Available Cost Data</t>
  </si>
  <si>
    <t>Capital Cost of Ammonia Catalyst</t>
  </si>
  <si>
    <r>
      <t>CC</t>
    </r>
    <r>
      <rPr>
        <vertAlign val="subscript"/>
        <sz val="10"/>
        <color theme="1"/>
        <rFont val="Tahoma"/>
        <family val="2"/>
      </rPr>
      <t>initial</t>
    </r>
  </si>
  <si>
    <r>
      <t>($8,000/m</t>
    </r>
    <r>
      <rPr>
        <vertAlign val="superscript"/>
        <sz val="10"/>
        <color theme="1"/>
        <rFont val="Tahoma"/>
        <family val="2"/>
      </rPr>
      <t>3</t>
    </r>
    <r>
      <rPr>
        <sz val="10"/>
        <color theme="1"/>
        <rFont val="Tahoma"/>
        <family val="2"/>
      </rPr>
      <t>)/(35.3147 ft</t>
    </r>
    <r>
      <rPr>
        <vertAlign val="superscript"/>
        <sz val="10"/>
        <color theme="1"/>
        <rFont val="Tahoma"/>
        <family val="2"/>
      </rPr>
      <t>3</t>
    </r>
    <r>
      <rPr>
        <sz val="10"/>
        <color theme="1"/>
        <rFont val="Tahoma"/>
        <family val="2"/>
      </rPr>
      <t>/m</t>
    </r>
    <r>
      <rPr>
        <vertAlign val="superscript"/>
        <sz val="10"/>
        <color theme="1"/>
        <rFont val="Tahoma"/>
        <family val="2"/>
      </rPr>
      <t>3</t>
    </r>
    <r>
      <rPr>
        <sz val="10"/>
        <color theme="1"/>
        <rFont val="Tahoma"/>
        <family val="2"/>
      </rPr>
      <t>)</t>
    </r>
  </si>
  <si>
    <r>
      <t>$/ft</t>
    </r>
    <r>
      <rPr>
        <vertAlign val="superscript"/>
        <sz val="10"/>
        <color theme="1"/>
        <rFont val="Tahoma"/>
        <family val="2"/>
      </rPr>
      <t>3</t>
    </r>
  </si>
  <si>
    <t>Per 2019 EPA Cost Manual, Sec 4, Chp 2 SCR, footnote 4; Adjusted from 2010 dollar.</t>
  </si>
  <si>
    <t>Cost of 19% Ammonia</t>
  </si>
  <si>
    <r>
      <t>C</t>
    </r>
    <r>
      <rPr>
        <vertAlign val="subscript"/>
        <sz val="10"/>
        <color theme="1"/>
        <rFont val="Tahoma"/>
        <family val="2"/>
      </rPr>
      <t>NH3solution</t>
    </r>
  </si>
  <si>
    <r>
      <t>$/gal/Den</t>
    </r>
    <r>
      <rPr>
        <vertAlign val="subscript"/>
        <sz val="10"/>
        <color theme="1"/>
        <rFont val="Tahoma"/>
        <family val="2"/>
      </rPr>
      <t>NH3</t>
    </r>
  </si>
  <si>
    <t>$/lb</t>
  </si>
  <si>
    <t>Based on $0.5631/gallon from Tanner Industries, Inc. budgetary pricing (10/1/2020)</t>
  </si>
  <si>
    <t>Industrial Natural Gas Price</t>
  </si>
  <si>
    <r>
      <t>Cost</t>
    </r>
    <r>
      <rPr>
        <vertAlign val="subscript"/>
        <sz val="10"/>
        <color theme="1"/>
        <rFont val="Tahoma"/>
        <family val="2"/>
      </rPr>
      <t>NG</t>
    </r>
  </si>
  <si>
    <t>$/Mscf</t>
  </si>
  <si>
    <t>Industrial Electricity Rate</t>
  </si>
  <si>
    <r>
      <t>Cost</t>
    </r>
    <r>
      <rPr>
        <vertAlign val="subscript"/>
        <sz val="10"/>
        <rFont val="Tahoma"/>
        <family val="2"/>
      </rPr>
      <t>elect</t>
    </r>
  </si>
  <si>
    <t>$/kWh</t>
  </si>
  <si>
    <t>Chemical Properties and Constants</t>
  </si>
  <si>
    <t>Ammonia Solution Density</t>
  </si>
  <si>
    <r>
      <t>Den</t>
    </r>
    <r>
      <rPr>
        <vertAlign val="subscript"/>
        <sz val="10"/>
        <rFont val="Tahoma"/>
        <family val="2"/>
      </rPr>
      <t>NH3</t>
    </r>
  </si>
  <si>
    <t>lbs/gal</t>
  </si>
  <si>
    <t>Density of 19% Ammonia Solution</t>
  </si>
  <si>
    <t>Ammonia Molecular Weight (MW)</t>
  </si>
  <si>
    <r>
      <t>M</t>
    </r>
    <r>
      <rPr>
        <vertAlign val="subscript"/>
        <sz val="10"/>
        <rFont val="Tahoma"/>
        <family val="2"/>
      </rPr>
      <t>reagent</t>
    </r>
  </si>
  <si>
    <t>g/mol</t>
  </si>
  <si>
    <t>Per 2019 EPA Cost Manual, Sec 4, Chp 2 SCR</t>
  </si>
  <si>
    <r>
      <t>NO</t>
    </r>
    <r>
      <rPr>
        <vertAlign val="subscript"/>
        <sz val="10"/>
        <rFont val="Tahoma"/>
        <family val="2"/>
      </rPr>
      <t>2</t>
    </r>
    <r>
      <rPr>
        <sz val="10"/>
        <rFont val="Tahoma"/>
        <family val="2"/>
      </rPr>
      <t xml:space="preserve"> MW</t>
    </r>
  </si>
  <si>
    <r>
      <t>M</t>
    </r>
    <r>
      <rPr>
        <vertAlign val="subscript"/>
        <sz val="10"/>
        <rFont val="Tahoma"/>
        <family val="2"/>
      </rPr>
      <t>NOx</t>
    </r>
  </si>
  <si>
    <r>
      <t>Ratio of Equivalent Moles of NH</t>
    </r>
    <r>
      <rPr>
        <vertAlign val="subscript"/>
        <sz val="10"/>
        <color theme="1"/>
        <rFont val="Tahoma"/>
        <family val="2"/>
      </rPr>
      <t>3</t>
    </r>
    <r>
      <rPr>
        <sz val="10"/>
        <color theme="1"/>
        <rFont val="Tahoma"/>
        <family val="2"/>
      </rPr>
      <t xml:space="preserve"> per Mole of Reagent Injected</t>
    </r>
  </si>
  <si>
    <r>
      <t>SR</t>
    </r>
    <r>
      <rPr>
        <vertAlign val="subscript"/>
        <sz val="10"/>
        <rFont val="Tahoma"/>
        <family val="2"/>
      </rPr>
      <t>theoretical</t>
    </r>
  </si>
  <si>
    <r>
      <t>mol NH</t>
    </r>
    <r>
      <rPr>
        <vertAlign val="subscript"/>
        <sz val="10"/>
        <color theme="1"/>
        <rFont val="Tahoma"/>
        <family val="2"/>
      </rPr>
      <t>3</t>
    </r>
    <r>
      <rPr>
        <sz val="10"/>
        <color theme="1"/>
        <rFont val="Tahoma"/>
        <family val="2"/>
      </rPr>
      <t xml:space="preserve"> : mol reagent</t>
    </r>
  </si>
  <si>
    <r>
      <t>Ratio of Equivalent Moles of NH</t>
    </r>
    <r>
      <rPr>
        <vertAlign val="subscript"/>
        <sz val="10"/>
        <color theme="1"/>
        <rFont val="Tahoma"/>
        <family val="2"/>
      </rPr>
      <t>3</t>
    </r>
    <r>
      <rPr>
        <sz val="10"/>
        <color theme="1"/>
        <rFont val="Tahoma"/>
        <family val="2"/>
      </rPr>
      <t xml:space="preserve"> per mole of NOx</t>
    </r>
  </si>
  <si>
    <t>SRF</t>
  </si>
  <si>
    <r>
      <t>mol NH</t>
    </r>
    <r>
      <rPr>
        <vertAlign val="subscript"/>
        <sz val="10"/>
        <color theme="1"/>
        <rFont val="Tahoma"/>
        <family val="2"/>
      </rPr>
      <t>3</t>
    </r>
    <r>
      <rPr>
        <sz val="10"/>
        <color theme="1"/>
        <rFont val="Tahoma"/>
        <family val="2"/>
      </rPr>
      <t>:mol NOx</t>
    </r>
  </si>
  <si>
    <t>Per 2019 EPA Cost Manual, Sec 4, Chp 2 SCR, Part 2.3.7</t>
  </si>
  <si>
    <t>Constant 1</t>
  </si>
  <si>
    <r>
      <t>c</t>
    </r>
    <r>
      <rPr>
        <vertAlign val="subscript"/>
        <sz val="10"/>
        <rFont val="Tahoma"/>
        <family val="2"/>
      </rPr>
      <t>1</t>
    </r>
  </si>
  <si>
    <t>ft</t>
  </si>
  <si>
    <t>Per 2019 EPA Cost Manual, Sec 4, Chp 2 SCR, Part 2.3.12</t>
  </si>
  <si>
    <t>Constant 2</t>
  </si>
  <si>
    <r>
      <t>c</t>
    </r>
    <r>
      <rPr>
        <vertAlign val="subscript"/>
        <sz val="10"/>
        <rFont val="Tahoma"/>
        <family val="2"/>
      </rPr>
      <t>2</t>
    </r>
  </si>
  <si>
    <t>SCR Design Data</t>
  </si>
  <si>
    <t>Empty Catalyst Layers</t>
  </si>
  <si>
    <r>
      <t>n</t>
    </r>
    <r>
      <rPr>
        <vertAlign val="subscript"/>
        <sz val="10"/>
        <rFont val="Tahoma"/>
        <family val="2"/>
      </rPr>
      <t>empty</t>
    </r>
  </si>
  <si>
    <t>layers</t>
  </si>
  <si>
    <t>Conservatively assumed for lowest capital cost</t>
  </si>
  <si>
    <t>Nominal Height of Each Catalyst Layer</t>
  </si>
  <si>
    <r>
      <t>h'</t>
    </r>
    <r>
      <rPr>
        <vertAlign val="subscript"/>
        <sz val="10"/>
        <rFont val="Tahoma"/>
        <family val="2"/>
      </rPr>
      <t>layer</t>
    </r>
  </si>
  <si>
    <t>Number SCR Chambers</t>
  </si>
  <si>
    <r>
      <t>n</t>
    </r>
    <r>
      <rPr>
        <vertAlign val="subscript"/>
        <sz val="10"/>
        <rFont val="Tahoma"/>
        <family val="2"/>
      </rPr>
      <t>scr</t>
    </r>
  </si>
  <si>
    <t>chamber</t>
  </si>
  <si>
    <t>Allowable Slip</t>
  </si>
  <si>
    <t>Slip</t>
  </si>
  <si>
    <t>ppm</t>
  </si>
  <si>
    <t>Per 2019 EPA Cost Manual, Sec 4, Chp 2 SCR, Part 2.2.2. Minimum range of allowable slip.</t>
  </si>
  <si>
    <t>Pressure Drop due to Duct</t>
  </si>
  <si>
    <r>
      <t>ΔP</t>
    </r>
    <r>
      <rPr>
        <vertAlign val="subscript"/>
        <sz val="10"/>
        <rFont val="Tahoma"/>
        <family val="2"/>
      </rPr>
      <t>duct</t>
    </r>
  </si>
  <si>
    <t>in</t>
  </si>
  <si>
    <t>Per 2019 EPA Cost Manual, Sec 4, Chp 2 SCR, Part 2.5</t>
  </si>
  <si>
    <t>Pressure Drop due to Catalyst</t>
  </si>
  <si>
    <r>
      <t>ΔP</t>
    </r>
    <r>
      <rPr>
        <vertAlign val="subscript"/>
        <sz val="10"/>
        <rFont val="Tahoma"/>
        <family val="2"/>
      </rPr>
      <t>catalyst</t>
    </r>
  </si>
  <si>
    <t>Operating Life of Catalyst in Hours</t>
  </si>
  <si>
    <r>
      <t>h</t>
    </r>
    <r>
      <rPr>
        <vertAlign val="subscript"/>
        <sz val="10"/>
        <rFont val="Tahoma"/>
        <family val="2"/>
      </rPr>
      <t>catalyst</t>
    </r>
  </si>
  <si>
    <t>hours</t>
  </si>
  <si>
    <t>Per 2019 EPA Cost Manual, Sec 4, Chp 2, Part 2.4.2; Assumed average of high-dust SCR as a catalyst layer is typically guaranteed for 16,000 - 24,000 operating hours.</t>
  </si>
  <si>
    <t>NOx Removal Efficiency</t>
  </si>
  <si>
    <r>
      <t>η</t>
    </r>
    <r>
      <rPr>
        <vertAlign val="subscript"/>
        <sz val="10"/>
        <rFont val="Tahoma"/>
        <family val="2"/>
      </rPr>
      <t>NOx</t>
    </r>
  </si>
  <si>
    <r>
      <t>(NOx</t>
    </r>
    <r>
      <rPr>
        <vertAlign val="subscript"/>
        <sz val="10"/>
        <rFont val="Tahoma"/>
        <family val="2"/>
      </rPr>
      <t>in</t>
    </r>
    <r>
      <rPr>
        <sz val="10"/>
        <rFont val="Tahoma"/>
        <family val="2"/>
      </rPr>
      <t>-NOx</t>
    </r>
    <r>
      <rPr>
        <vertAlign val="subscript"/>
        <sz val="10"/>
        <rFont val="Tahoma"/>
        <family val="2"/>
      </rPr>
      <t>out</t>
    </r>
    <r>
      <rPr>
        <sz val="10"/>
        <rFont val="Tahoma"/>
        <family val="2"/>
      </rPr>
      <t>)/NOx</t>
    </r>
    <r>
      <rPr>
        <vertAlign val="subscript"/>
        <sz val="10"/>
        <rFont val="Tahoma"/>
        <family val="2"/>
      </rPr>
      <t>in</t>
    </r>
    <r>
      <rPr>
        <sz val="10"/>
        <rFont val="Tahoma"/>
        <family val="2"/>
      </rPr>
      <t>*100%</t>
    </r>
  </si>
  <si>
    <t>Per 2019 EPA Cost Manual, Sec 4, Chp 2 SCR, Equation 2.10. Assumes constant removal efficiency without variation of catalyst activity, which decreases over time (2019 EPA Cost Manual,Sec 4, Chp 2 SCR, Part 2.3.10).</t>
  </si>
  <si>
    <t>Cross Sectional Area of Catalyst</t>
  </si>
  <si>
    <r>
      <t>A</t>
    </r>
    <r>
      <rPr>
        <vertAlign val="subscript"/>
        <sz val="10"/>
        <rFont val="Tahoma"/>
        <family val="2"/>
      </rPr>
      <t>catalyst</t>
    </r>
  </si>
  <si>
    <r>
      <t>q</t>
    </r>
    <r>
      <rPr>
        <vertAlign val="subscript"/>
        <sz val="10"/>
        <rFont val="Tahoma"/>
        <family val="2"/>
      </rPr>
      <t>fluegas</t>
    </r>
    <r>
      <rPr>
        <sz val="10"/>
        <rFont val="Tahoma"/>
        <family val="2"/>
      </rPr>
      <t>/(16ft/sec x 60 sec/min)</t>
    </r>
  </si>
  <si>
    <r>
      <t>ft</t>
    </r>
    <r>
      <rPr>
        <vertAlign val="superscript"/>
        <sz val="10"/>
        <rFont val="Tahoma"/>
        <family val="2"/>
      </rPr>
      <t>2</t>
    </r>
  </si>
  <si>
    <t>Per 2019 EPA Cost Manual, Sec 4, Chp 2 SCR, Equation 2.28.</t>
  </si>
  <si>
    <t>Cross Sectional area of SCR reactor</t>
  </si>
  <si>
    <r>
      <t>A</t>
    </r>
    <r>
      <rPr>
        <vertAlign val="subscript"/>
        <sz val="10"/>
        <rFont val="Tahoma"/>
        <family val="2"/>
      </rPr>
      <t>SCR</t>
    </r>
  </si>
  <si>
    <r>
      <t>A</t>
    </r>
    <r>
      <rPr>
        <vertAlign val="subscript"/>
        <sz val="10"/>
        <rFont val="Tahoma"/>
        <family val="2"/>
      </rPr>
      <t>catalyst</t>
    </r>
    <r>
      <rPr>
        <sz val="10"/>
        <rFont val="Tahoma"/>
        <family val="2"/>
      </rPr>
      <t>*1.15 (15% greater than A</t>
    </r>
    <r>
      <rPr>
        <vertAlign val="subscript"/>
        <sz val="10"/>
        <rFont val="Tahoma"/>
        <family val="2"/>
      </rPr>
      <t>catalyst</t>
    </r>
    <r>
      <rPr>
        <sz val="10"/>
        <rFont val="Tahoma"/>
        <family val="2"/>
      </rPr>
      <t>)</t>
    </r>
  </si>
  <si>
    <t>Per 2019 EPA Cost Manual, Sec 4, Chp 2 SCR, Equation 2.29.</t>
  </si>
  <si>
    <t>Temp Adjustment</t>
  </si>
  <si>
    <r>
      <t>T</t>
    </r>
    <r>
      <rPr>
        <vertAlign val="subscript"/>
        <sz val="10"/>
        <rFont val="Tahoma"/>
        <family val="2"/>
      </rPr>
      <t>adj</t>
    </r>
  </si>
  <si>
    <r>
      <t>15.16-(0.03937*T) +(0.0000274*(T</t>
    </r>
    <r>
      <rPr>
        <vertAlign val="superscript"/>
        <sz val="10"/>
        <rFont val="Tahoma"/>
        <family val="2"/>
      </rPr>
      <t>2</t>
    </r>
    <r>
      <rPr>
        <sz val="10"/>
        <rFont val="Tahoma"/>
        <family val="2"/>
      </rPr>
      <t>))</t>
    </r>
  </si>
  <si>
    <t>Per 2019 EPA Cost Manual, Sec 4, Chp 2 SCR, Equation 2.27</t>
  </si>
  <si>
    <t>Slip Adjustment</t>
  </si>
  <si>
    <r>
      <t>Slip</t>
    </r>
    <r>
      <rPr>
        <vertAlign val="subscript"/>
        <sz val="10"/>
        <rFont val="Tahoma"/>
        <family val="2"/>
      </rPr>
      <t>adj</t>
    </r>
  </si>
  <si>
    <t>(1.2835-(0.0567*Slip))</t>
  </si>
  <si>
    <t>Per 2019 EPA Cost Manual, Sec 4, Chp 2 SCR, Equation 2.24</t>
  </si>
  <si>
    <t>Inlet NOx Adjustment</t>
  </si>
  <si>
    <r>
      <t>NOx</t>
    </r>
    <r>
      <rPr>
        <vertAlign val="subscript"/>
        <sz val="10"/>
        <rFont val="Tahoma"/>
        <family val="2"/>
      </rPr>
      <t>adj</t>
    </r>
  </si>
  <si>
    <r>
      <t>(0.8524+(0.3208*NOX</t>
    </r>
    <r>
      <rPr>
        <vertAlign val="subscript"/>
        <sz val="10"/>
        <rFont val="Tahoma"/>
        <family val="2"/>
      </rPr>
      <t>in</t>
    </r>
    <r>
      <rPr>
        <sz val="10"/>
        <rFont val="Tahoma"/>
        <family val="2"/>
      </rPr>
      <t>))</t>
    </r>
  </si>
  <si>
    <t>Per 2019 EPA Cost Manual, Sec 4, Chp 2 SCR, Equation 2.25</t>
  </si>
  <si>
    <t>NOx Efficiency Adjustment</t>
  </si>
  <si>
    <r>
      <t>η</t>
    </r>
    <r>
      <rPr>
        <vertAlign val="subscript"/>
        <sz val="10"/>
        <rFont val="Tahoma"/>
        <family val="2"/>
      </rPr>
      <t>adj</t>
    </r>
  </si>
  <si>
    <r>
      <t>(0.2869+(1.058*η</t>
    </r>
    <r>
      <rPr>
        <vertAlign val="subscript"/>
        <sz val="10"/>
        <rFont val="Tahoma"/>
        <family val="2"/>
      </rPr>
      <t>NOx</t>
    </r>
    <r>
      <rPr>
        <sz val="10"/>
        <rFont val="Tahoma"/>
        <family val="2"/>
      </rPr>
      <t>))</t>
    </r>
  </si>
  <si>
    <t>Per 2019 EPA Cost Manual, Sec 4, Chp 2 SCR, Equation 2.23</t>
  </si>
  <si>
    <t>Volume of Catalyst</t>
  </si>
  <si>
    <r>
      <t>Vol</t>
    </r>
    <r>
      <rPr>
        <vertAlign val="subscript"/>
        <sz val="10"/>
        <rFont val="Tahoma"/>
        <family val="2"/>
      </rPr>
      <t>catalyst</t>
    </r>
  </si>
  <si>
    <r>
      <t>2.81*Q</t>
    </r>
    <r>
      <rPr>
        <vertAlign val="subscript"/>
        <sz val="10"/>
        <rFont val="Tahoma"/>
        <family val="2"/>
      </rPr>
      <t>B</t>
    </r>
    <r>
      <rPr>
        <sz val="10"/>
        <rFont val="Tahoma"/>
        <family val="2"/>
      </rPr>
      <t>* η</t>
    </r>
    <r>
      <rPr>
        <vertAlign val="subscript"/>
        <sz val="10"/>
        <rFont val="Tahoma"/>
        <family val="2"/>
      </rPr>
      <t>adj</t>
    </r>
    <r>
      <rPr>
        <sz val="10"/>
        <rFont val="Tahoma"/>
        <family val="2"/>
      </rPr>
      <t>*NOX</t>
    </r>
    <r>
      <rPr>
        <vertAlign val="subscript"/>
        <sz val="10"/>
        <rFont val="Tahoma"/>
        <family val="2"/>
      </rPr>
      <t>adj</t>
    </r>
    <r>
      <rPr>
        <sz val="10"/>
        <rFont val="Tahoma"/>
        <family val="2"/>
      </rPr>
      <t>*Slip</t>
    </r>
    <r>
      <rPr>
        <vertAlign val="subscript"/>
        <sz val="10"/>
        <rFont val="Tahoma"/>
        <family val="2"/>
      </rPr>
      <t>adj</t>
    </r>
    <r>
      <rPr>
        <sz val="10"/>
        <rFont val="Tahoma"/>
        <family val="2"/>
      </rPr>
      <t>*T</t>
    </r>
    <r>
      <rPr>
        <vertAlign val="subscript"/>
        <sz val="10"/>
        <rFont val="Tahoma"/>
        <family val="2"/>
      </rPr>
      <t>adj</t>
    </r>
    <r>
      <rPr>
        <sz val="10"/>
        <rFont val="Tahoma"/>
        <family val="2"/>
      </rPr>
      <t>/n</t>
    </r>
    <r>
      <rPr>
        <vertAlign val="subscript"/>
        <sz val="10"/>
        <rFont val="Tahoma"/>
        <family val="2"/>
      </rPr>
      <t>scr</t>
    </r>
  </si>
  <si>
    <r>
      <t>ft</t>
    </r>
    <r>
      <rPr>
        <vertAlign val="superscript"/>
        <sz val="10"/>
        <color theme="1"/>
        <rFont val="Tahoma"/>
        <family val="2"/>
      </rPr>
      <t>3</t>
    </r>
  </si>
  <si>
    <t>Per 2019 EPA Cost Manual, Sec 4, Chp 2 SCR, Equation 2.22</t>
  </si>
  <si>
    <t>Height of catalyst layer</t>
  </si>
  <si>
    <r>
      <t>h</t>
    </r>
    <r>
      <rPr>
        <vertAlign val="subscript"/>
        <sz val="10"/>
        <rFont val="Tahoma"/>
        <family val="2"/>
      </rPr>
      <t>layer</t>
    </r>
  </si>
  <si>
    <r>
      <t>Vol</t>
    </r>
    <r>
      <rPr>
        <vertAlign val="subscript"/>
        <sz val="10"/>
        <rFont val="Tahoma"/>
        <family val="2"/>
      </rPr>
      <t>catalyst</t>
    </r>
    <r>
      <rPr>
        <sz val="10"/>
        <rFont val="Tahoma"/>
        <family val="2"/>
      </rPr>
      <t>/(N</t>
    </r>
    <r>
      <rPr>
        <vertAlign val="subscript"/>
        <sz val="10"/>
        <rFont val="Tahoma"/>
        <family val="2"/>
      </rPr>
      <t>layer</t>
    </r>
    <r>
      <rPr>
        <sz val="10"/>
        <rFont val="Tahoma"/>
        <family val="2"/>
      </rPr>
      <t>*A</t>
    </r>
    <r>
      <rPr>
        <vertAlign val="subscript"/>
        <sz val="10"/>
        <rFont val="Tahoma"/>
        <family val="2"/>
      </rPr>
      <t>catalyst</t>
    </r>
    <r>
      <rPr>
        <sz val="10"/>
        <rFont val="Tahoma"/>
        <family val="2"/>
      </rPr>
      <t>)+1</t>
    </r>
  </si>
  <si>
    <t>Per 2019 EPA Cost Manual, Sec 4, Chp 2 SCR, Equation 2.32</t>
  </si>
  <si>
    <t>Number of catalyst layers</t>
  </si>
  <si>
    <r>
      <t>n</t>
    </r>
    <r>
      <rPr>
        <vertAlign val="subscript"/>
        <sz val="10"/>
        <rFont val="Tahoma"/>
        <family val="2"/>
      </rPr>
      <t>layer</t>
    </r>
  </si>
  <si>
    <r>
      <t>Vol</t>
    </r>
    <r>
      <rPr>
        <vertAlign val="subscript"/>
        <sz val="10"/>
        <rFont val="Tahoma"/>
        <family val="2"/>
      </rPr>
      <t>catalyst</t>
    </r>
    <r>
      <rPr>
        <sz val="10"/>
        <rFont val="Tahoma"/>
        <family val="2"/>
      </rPr>
      <t>/(h'</t>
    </r>
    <r>
      <rPr>
        <vertAlign val="subscript"/>
        <sz val="10"/>
        <rFont val="Tahoma"/>
        <family val="2"/>
      </rPr>
      <t>layer</t>
    </r>
    <r>
      <rPr>
        <sz val="10"/>
        <rFont val="Tahoma"/>
        <family val="2"/>
      </rPr>
      <t>*A</t>
    </r>
    <r>
      <rPr>
        <vertAlign val="subscript"/>
        <sz val="10"/>
        <rFont val="Tahoma"/>
        <family val="2"/>
      </rPr>
      <t>catalyst</t>
    </r>
    <r>
      <rPr>
        <sz val="10"/>
        <rFont val="Tahoma"/>
        <family val="2"/>
      </rPr>
      <t>)</t>
    </r>
  </si>
  <si>
    <t>Per 2019 EPA Cost Manual, Sec 4, Chp 2 SCR, Equation 2.31</t>
  </si>
  <si>
    <t>Total Number of catalyst layers</t>
  </si>
  <si>
    <r>
      <t>n</t>
    </r>
    <r>
      <rPr>
        <vertAlign val="subscript"/>
        <sz val="10"/>
        <rFont val="Tahoma"/>
        <family val="2"/>
      </rPr>
      <t>total</t>
    </r>
  </si>
  <si>
    <r>
      <t>n</t>
    </r>
    <r>
      <rPr>
        <vertAlign val="subscript"/>
        <sz val="10"/>
        <rFont val="Tahoma"/>
        <family val="2"/>
      </rPr>
      <t>layer</t>
    </r>
    <r>
      <rPr>
        <sz val="10"/>
        <rFont val="Tahoma"/>
        <family val="2"/>
      </rPr>
      <t xml:space="preserve"> + n</t>
    </r>
    <r>
      <rPr>
        <vertAlign val="subscript"/>
        <sz val="10"/>
        <rFont val="Tahoma"/>
        <family val="2"/>
      </rPr>
      <t>empty</t>
    </r>
  </si>
  <si>
    <t>Per 2019 EPA Cost Manual, Sec 4, Chp 2 SCR, Equation 2.33</t>
  </si>
  <si>
    <t>Height of SCR</t>
  </si>
  <si>
    <r>
      <t>h</t>
    </r>
    <r>
      <rPr>
        <vertAlign val="subscript"/>
        <sz val="10"/>
        <rFont val="Tahoma"/>
        <family val="2"/>
      </rPr>
      <t>scr</t>
    </r>
  </si>
  <si>
    <r>
      <t>n</t>
    </r>
    <r>
      <rPr>
        <vertAlign val="subscript"/>
        <sz val="10"/>
        <rFont val="Tahoma"/>
        <family val="2"/>
      </rPr>
      <t>total</t>
    </r>
    <r>
      <rPr>
        <sz val="10"/>
        <rFont val="Tahoma"/>
        <family val="2"/>
      </rPr>
      <t>*(C1+h</t>
    </r>
    <r>
      <rPr>
        <vertAlign val="subscript"/>
        <sz val="10"/>
        <rFont val="Tahoma"/>
        <family val="2"/>
      </rPr>
      <t>layer</t>
    </r>
    <r>
      <rPr>
        <sz val="10"/>
        <rFont val="Tahoma"/>
        <family val="2"/>
      </rPr>
      <t>)+C2</t>
    </r>
  </si>
  <si>
    <t>Per 2019 EPA Cost Manual, Sec 4, Chp 2 SCR, Equation 2.34</t>
  </si>
  <si>
    <t>Mass flow of reagent</t>
  </si>
  <si>
    <r>
      <t>m</t>
    </r>
    <r>
      <rPr>
        <vertAlign val="subscript"/>
        <sz val="10"/>
        <rFont val="Tahoma"/>
        <family val="2"/>
      </rPr>
      <t>reagent</t>
    </r>
  </si>
  <si>
    <r>
      <t>(NOx</t>
    </r>
    <r>
      <rPr>
        <vertAlign val="subscript"/>
        <sz val="10"/>
        <rFont val="Tahoma"/>
        <family val="2"/>
      </rPr>
      <t>in</t>
    </r>
    <r>
      <rPr>
        <sz val="10"/>
        <rFont val="Tahoma"/>
        <family val="2"/>
      </rPr>
      <t>*Q</t>
    </r>
    <r>
      <rPr>
        <vertAlign val="subscript"/>
        <sz val="10"/>
        <rFont val="Tahoma"/>
        <family val="2"/>
      </rPr>
      <t>B</t>
    </r>
    <r>
      <rPr>
        <sz val="10"/>
        <rFont val="Tahoma"/>
        <family val="2"/>
      </rPr>
      <t>*η</t>
    </r>
    <r>
      <rPr>
        <vertAlign val="subscript"/>
        <sz val="10"/>
        <rFont val="Tahoma"/>
        <family val="2"/>
      </rPr>
      <t>NOx</t>
    </r>
    <r>
      <rPr>
        <sz val="10"/>
        <rFont val="Tahoma"/>
        <family val="2"/>
      </rPr>
      <t>*SRF*M</t>
    </r>
    <r>
      <rPr>
        <vertAlign val="subscript"/>
        <sz val="10"/>
        <rFont val="Tahoma"/>
        <family val="2"/>
      </rPr>
      <t>reagent</t>
    </r>
    <r>
      <rPr>
        <sz val="10"/>
        <rFont val="Tahoma"/>
        <family val="2"/>
      </rPr>
      <t>)/(M</t>
    </r>
    <r>
      <rPr>
        <vertAlign val="subscript"/>
        <sz val="10"/>
        <rFont val="Tahoma"/>
        <family val="2"/>
      </rPr>
      <t>NOx</t>
    </r>
    <r>
      <rPr>
        <sz val="10"/>
        <rFont val="Tahoma"/>
        <family val="2"/>
      </rPr>
      <t>)</t>
    </r>
  </si>
  <si>
    <t>lb/hr</t>
  </si>
  <si>
    <t>Per 2019 EPA Cost Manual, Sec 4, Chp 2 SCR, Equation 2.35</t>
  </si>
  <si>
    <t>Mass flow of solution</t>
  </si>
  <si>
    <r>
      <t>m</t>
    </r>
    <r>
      <rPr>
        <vertAlign val="subscript"/>
        <sz val="10"/>
        <rFont val="Tahoma"/>
        <family val="2"/>
      </rPr>
      <t>sol</t>
    </r>
  </si>
  <si>
    <r>
      <t>m</t>
    </r>
    <r>
      <rPr>
        <vertAlign val="subscript"/>
        <sz val="10"/>
        <rFont val="Tahoma"/>
        <family val="2"/>
      </rPr>
      <t>reagent</t>
    </r>
    <r>
      <rPr>
        <sz val="10"/>
        <rFont val="Tahoma"/>
        <family val="2"/>
      </rPr>
      <t>/C</t>
    </r>
    <r>
      <rPr>
        <vertAlign val="subscript"/>
        <sz val="10"/>
        <rFont val="Tahoma"/>
        <family val="2"/>
      </rPr>
      <t>sol</t>
    </r>
  </si>
  <si>
    <t>Per 2019 EPA Cost Manual, Sec 4, Chp 2 SCR, Equation 2.36</t>
  </si>
  <si>
    <t>Direct Costs</t>
  </si>
  <si>
    <t>Catalyst Cost</t>
  </si>
  <si>
    <r>
      <t>f(Vol</t>
    </r>
    <r>
      <rPr>
        <vertAlign val="subscript"/>
        <sz val="10"/>
        <rFont val="Tahoma"/>
        <family val="2"/>
      </rPr>
      <t>catalyst</t>
    </r>
    <r>
      <rPr>
        <sz val="10"/>
        <rFont val="Tahoma"/>
        <family val="2"/>
      </rPr>
      <t>)</t>
    </r>
  </si>
  <si>
    <r>
      <t>Vol</t>
    </r>
    <r>
      <rPr>
        <vertAlign val="subscript"/>
        <sz val="10"/>
        <rFont val="Tahoma"/>
        <family val="2"/>
      </rPr>
      <t>catalyst</t>
    </r>
    <r>
      <rPr>
        <sz val="10"/>
        <rFont val="Tahoma"/>
        <family val="2"/>
      </rPr>
      <t>*CC</t>
    </r>
    <r>
      <rPr>
        <vertAlign val="subscript"/>
        <sz val="10"/>
        <rFont val="Tahoma"/>
        <family val="2"/>
      </rPr>
      <t>initial</t>
    </r>
  </si>
  <si>
    <t>$</t>
  </si>
  <si>
    <t>Calculated</t>
  </si>
  <si>
    <t>Ammonia Flow Adjustment</t>
  </si>
  <si>
    <r>
      <t>f(NH</t>
    </r>
    <r>
      <rPr>
        <vertAlign val="subscript"/>
        <sz val="10"/>
        <rFont val="Tahoma"/>
        <family val="2"/>
      </rPr>
      <t>3</t>
    </r>
    <r>
      <rPr>
        <sz val="10"/>
        <rFont val="Tahoma"/>
        <family val="2"/>
      </rPr>
      <t>rate)</t>
    </r>
  </si>
  <si>
    <r>
      <t>$411/(lb/hr)*m</t>
    </r>
    <r>
      <rPr>
        <vertAlign val="subscript"/>
        <sz val="10"/>
        <rFont val="Tahoma"/>
        <family val="2"/>
      </rPr>
      <t>reagent</t>
    </r>
    <r>
      <rPr>
        <sz val="10"/>
        <rFont val="Tahoma"/>
        <family val="2"/>
      </rPr>
      <t>/Q</t>
    </r>
    <r>
      <rPr>
        <vertAlign val="subscript"/>
        <sz val="10"/>
        <rFont val="Tahoma"/>
        <family val="2"/>
      </rPr>
      <t>B</t>
    </r>
    <r>
      <rPr>
        <sz val="10"/>
        <rFont val="Tahoma"/>
        <family val="2"/>
      </rPr>
      <t>-$47.3/MMBtu/hr</t>
    </r>
  </si>
  <si>
    <t>$/(MMBtu/hr)</t>
  </si>
  <si>
    <t>Per 2002 EPA Cost Manual, Sec 4, Chp 2 SCR, Equation 2.38; Adjusted from 1998 dollar</t>
  </si>
  <si>
    <t>SCR height Adjustment</t>
  </si>
  <si>
    <r>
      <t>f(h</t>
    </r>
    <r>
      <rPr>
        <vertAlign val="subscript"/>
        <sz val="10"/>
        <rFont val="Tahoma"/>
        <family val="2"/>
      </rPr>
      <t>scr</t>
    </r>
    <r>
      <rPr>
        <sz val="10"/>
        <rFont val="Tahoma"/>
        <family val="2"/>
      </rPr>
      <t>)</t>
    </r>
  </si>
  <si>
    <r>
      <t>$6.12/(ft-MMBtu/hr)*h</t>
    </r>
    <r>
      <rPr>
        <vertAlign val="subscript"/>
        <sz val="10"/>
        <rFont val="Tahoma"/>
        <family val="2"/>
      </rPr>
      <t>scr</t>
    </r>
    <r>
      <rPr>
        <sz val="10"/>
        <rFont val="Tahoma"/>
        <family val="2"/>
      </rPr>
      <t>-$187.9/MMBtu/hr</t>
    </r>
  </si>
  <si>
    <t>Per 2002 EPA Cost Manual, Sec 4, Chp 2 SCR, Equation 2.37; Adjusted from 1998 dollar</t>
  </si>
  <si>
    <t>Bypass Adjustment</t>
  </si>
  <si>
    <t>f(bypass)</t>
  </si>
  <si>
    <t>$127/MMBtu/hr</t>
  </si>
  <si>
    <t>Per 2002 EPA Cost Manual, Sec 4, Chp 2 SCR, Equation 2.42; No Bypass Installed</t>
  </si>
  <si>
    <t>Ammonia Slip Monitoring</t>
  </si>
  <si>
    <r>
      <t>NH</t>
    </r>
    <r>
      <rPr>
        <vertAlign val="subscript"/>
        <sz val="10"/>
        <rFont val="Tahoma"/>
        <family val="2"/>
      </rPr>
      <t>3</t>
    </r>
    <r>
      <rPr>
        <sz val="10"/>
        <rFont val="Tahoma"/>
        <family val="2"/>
      </rPr>
      <t>MON</t>
    </r>
    <r>
      <rPr>
        <vertAlign val="subscript"/>
        <sz val="10"/>
        <rFont val="Tahoma"/>
        <family val="2"/>
      </rPr>
      <t>cost</t>
    </r>
  </si>
  <si>
    <t>Per 2019 EPA Cost Manual, Sec 4, Chp 2 SCR, Section 2.2.2; Adjusted from 2009 dollar</t>
  </si>
  <si>
    <r>
      <t>NOx, O</t>
    </r>
    <r>
      <rPr>
        <vertAlign val="subscript"/>
        <sz val="10"/>
        <color theme="1"/>
        <rFont val="Tahoma"/>
        <family val="2"/>
      </rPr>
      <t>2</t>
    </r>
    <r>
      <rPr>
        <sz val="10"/>
        <color theme="1"/>
        <rFont val="Tahoma"/>
        <family val="2"/>
      </rPr>
      <t>, and Flow Monitoring</t>
    </r>
  </si>
  <si>
    <r>
      <t>NOxMON</t>
    </r>
    <r>
      <rPr>
        <vertAlign val="subscript"/>
        <sz val="10"/>
        <rFont val="Tahoma"/>
        <family val="2"/>
      </rPr>
      <t>cost</t>
    </r>
  </si>
  <si>
    <r>
      <t>NOx analyzer, O</t>
    </r>
    <r>
      <rPr>
        <vertAlign val="subscript"/>
        <sz val="10"/>
        <rFont val="Tahoma"/>
        <family val="2"/>
      </rPr>
      <t>2</t>
    </r>
    <r>
      <rPr>
        <sz val="10"/>
        <rFont val="Tahoma"/>
        <family val="2"/>
      </rPr>
      <t xml:space="preserve"> analyzer, flow monitor; Cost per EMC: Continuous Emission Monitoring Systems CEMS Cost Model Version 3.0 (3/7/2007); Adjusted from 2007 dollar</t>
    </r>
  </si>
  <si>
    <t>Total Direct Cost</t>
  </si>
  <si>
    <t>DC</t>
  </si>
  <si>
    <t>Adapted from 2002 EPA Cost Manual, Sec 4, Chp 2 SCR, Equation 2.36; Adjusted from 1998 dollar</t>
  </si>
  <si>
    <t>Indirect Costs</t>
  </si>
  <si>
    <t>Performance Test</t>
  </si>
  <si>
    <r>
      <t>PT</t>
    </r>
    <r>
      <rPr>
        <vertAlign val="subscript"/>
        <sz val="10"/>
        <rFont val="Tahoma"/>
        <family val="2"/>
      </rPr>
      <t>cost</t>
    </r>
  </si>
  <si>
    <t>Budgetary Cost</t>
  </si>
  <si>
    <t>Testing of Catalyst Core (Engineering Estimate)</t>
  </si>
  <si>
    <t>General Facilities</t>
  </si>
  <si>
    <r>
      <t>GF</t>
    </r>
    <r>
      <rPr>
        <vertAlign val="subscript"/>
        <sz val="10"/>
        <rFont val="Tahoma"/>
        <family val="2"/>
      </rPr>
      <t>cost</t>
    </r>
  </si>
  <si>
    <t>0.05*DC</t>
  </si>
  <si>
    <t>Per 2002 EPA Cost Manual, Sec 4, Chp 2 SCR, Table 2.5</t>
  </si>
  <si>
    <t>Engineering and Home Office Fees</t>
  </si>
  <si>
    <r>
      <t>EO</t>
    </r>
    <r>
      <rPr>
        <vertAlign val="subscript"/>
        <sz val="10"/>
        <rFont val="Tahoma"/>
        <family val="2"/>
      </rPr>
      <t>cost</t>
    </r>
  </si>
  <si>
    <t>0.10*DC</t>
  </si>
  <si>
    <t>Process Contingency</t>
  </si>
  <si>
    <r>
      <t>PC</t>
    </r>
    <r>
      <rPr>
        <vertAlign val="subscript"/>
        <sz val="10"/>
        <rFont val="Tahoma"/>
        <family val="2"/>
      </rPr>
      <t>cost</t>
    </r>
  </si>
  <si>
    <t>Total Indirect Installation Costs</t>
  </si>
  <si>
    <t>B</t>
  </si>
  <si>
    <r>
      <t>PT</t>
    </r>
    <r>
      <rPr>
        <vertAlign val="subscript"/>
        <sz val="10"/>
        <rFont val="Tahoma"/>
        <family val="2"/>
      </rPr>
      <t>cost</t>
    </r>
    <r>
      <rPr>
        <sz val="10"/>
        <rFont val="Tahoma"/>
        <family val="2"/>
      </rPr>
      <t>+GF</t>
    </r>
    <r>
      <rPr>
        <vertAlign val="subscript"/>
        <sz val="10"/>
        <rFont val="Tahoma"/>
        <family val="2"/>
      </rPr>
      <t>cost</t>
    </r>
    <r>
      <rPr>
        <sz val="10"/>
        <rFont val="Tahoma"/>
        <family val="2"/>
      </rPr>
      <t>+EO</t>
    </r>
    <r>
      <rPr>
        <vertAlign val="subscript"/>
        <sz val="10"/>
        <rFont val="Tahoma"/>
        <family val="2"/>
      </rPr>
      <t>cost</t>
    </r>
    <r>
      <rPr>
        <sz val="10"/>
        <rFont val="Tahoma"/>
        <family val="2"/>
      </rPr>
      <t>+PC</t>
    </r>
    <r>
      <rPr>
        <vertAlign val="subscript"/>
        <sz val="10"/>
        <rFont val="Tahoma"/>
        <family val="2"/>
      </rPr>
      <t>cost</t>
    </r>
  </si>
  <si>
    <t>Project Contingency</t>
  </si>
  <si>
    <t>C</t>
  </si>
  <si>
    <t>0.15*(DC+B)</t>
  </si>
  <si>
    <t>Per 2019 EPA Cost Manual, Sec 4, Chp 2 SCR, Part 2.4.1</t>
  </si>
  <si>
    <t>Total Capital Investment</t>
  </si>
  <si>
    <t>Total Plant Costs</t>
  </si>
  <si>
    <t>D</t>
  </si>
  <si>
    <t>DC+B+C</t>
  </si>
  <si>
    <t>-</t>
  </si>
  <si>
    <t>Preproduction Costs</t>
  </si>
  <si>
    <t>G</t>
  </si>
  <si>
    <t>0.02*D</t>
  </si>
  <si>
    <t>Inventory Capital</t>
  </si>
  <si>
    <t>H</t>
  </si>
  <si>
    <r>
      <t>C</t>
    </r>
    <r>
      <rPr>
        <vertAlign val="subscript"/>
        <sz val="10"/>
        <rFont val="Tahoma"/>
        <family val="2"/>
      </rPr>
      <t>NH3solution</t>
    </r>
    <r>
      <rPr>
        <sz val="10"/>
        <rFont val="Tahoma"/>
        <family val="2"/>
      </rPr>
      <t>*m</t>
    </r>
    <r>
      <rPr>
        <vertAlign val="subscript"/>
        <sz val="10"/>
        <rFont val="Tahoma"/>
        <family val="2"/>
      </rPr>
      <t>sol</t>
    </r>
    <r>
      <rPr>
        <sz val="10"/>
        <rFont val="Tahoma"/>
        <family val="2"/>
      </rPr>
      <t>*14 days*24 hr/day</t>
    </r>
  </si>
  <si>
    <t>Per 2002 EPA Cost Manual, Sec 4, Chp 2 SCR, Table 2.5; Based on 14 days of SCR operation, 24 hrs/day</t>
  </si>
  <si>
    <t>TCI</t>
  </si>
  <si>
    <t>D+G+H</t>
  </si>
  <si>
    <t>Total Annual Costs</t>
  </si>
  <si>
    <t>Direct Annual Costs</t>
  </si>
  <si>
    <t>Operator Labor Costs</t>
  </si>
  <si>
    <r>
      <t>OL</t>
    </r>
    <r>
      <rPr>
        <vertAlign val="subscript"/>
        <sz val="10"/>
        <rFont val="Tahoma"/>
        <family val="2"/>
      </rPr>
      <t>cost</t>
    </r>
  </si>
  <si>
    <r>
      <t>t</t>
    </r>
    <r>
      <rPr>
        <vertAlign val="subscript"/>
        <sz val="10"/>
        <rFont val="Tahoma"/>
        <family val="2"/>
      </rPr>
      <t>SCR</t>
    </r>
    <r>
      <rPr>
        <sz val="10"/>
        <rFont val="Tahoma"/>
        <family val="2"/>
      </rPr>
      <t>/24 hr/day* 4 hr/day* $60/hr</t>
    </r>
  </si>
  <si>
    <t>Per 2019 EPA Cost Manual, Sec 4, Chp 2 SCR, Parts 2.4.2 &amp; 2.5; Adjusted from 2016 dollar</t>
  </si>
  <si>
    <t>Supervisor Labor Costs</t>
  </si>
  <si>
    <r>
      <t>SL</t>
    </r>
    <r>
      <rPr>
        <vertAlign val="subscript"/>
        <sz val="10"/>
        <rFont val="Tahoma"/>
        <family val="2"/>
      </rPr>
      <t>cost</t>
    </r>
  </si>
  <si>
    <r>
      <t>0.15*OL</t>
    </r>
    <r>
      <rPr>
        <vertAlign val="subscript"/>
        <sz val="10"/>
        <rFont val="Tahoma"/>
        <family val="2"/>
      </rPr>
      <t>cost</t>
    </r>
  </si>
  <si>
    <t>Assumed minimal - 15% of Operating Labor Rate per 2002 EPA Cost Manual, Sec 4, Chp 2 SCR, Part 1.5.1</t>
  </si>
  <si>
    <t>Annual Maintenance Costs</t>
  </si>
  <si>
    <r>
      <t>AM</t>
    </r>
    <r>
      <rPr>
        <vertAlign val="subscript"/>
        <sz val="10"/>
        <rFont val="Tahoma"/>
        <family val="2"/>
      </rPr>
      <t>cost</t>
    </r>
  </si>
  <si>
    <t>0.005*TCI</t>
  </si>
  <si>
    <t>Per 2019 EPA Cost Manual, Sec 4, Chp 2 SCR, Equation 2.57</t>
  </si>
  <si>
    <t>Annual Reagent Costs</t>
  </si>
  <si>
    <r>
      <t>AR</t>
    </r>
    <r>
      <rPr>
        <vertAlign val="subscript"/>
        <sz val="10"/>
        <rFont val="Tahoma"/>
        <family val="2"/>
      </rPr>
      <t>cost</t>
    </r>
  </si>
  <si>
    <r>
      <t>C</t>
    </r>
    <r>
      <rPr>
        <vertAlign val="subscript"/>
        <sz val="10"/>
        <rFont val="Tahoma"/>
        <family val="2"/>
      </rPr>
      <t>NH3solution</t>
    </r>
    <r>
      <rPr>
        <sz val="10"/>
        <rFont val="Tahoma"/>
        <family val="2"/>
      </rPr>
      <t>*m</t>
    </r>
    <r>
      <rPr>
        <vertAlign val="subscript"/>
        <sz val="10"/>
        <rFont val="Tahoma"/>
        <family val="2"/>
      </rPr>
      <t>sol</t>
    </r>
    <r>
      <rPr>
        <sz val="10"/>
        <rFont val="Tahoma"/>
        <family val="2"/>
      </rPr>
      <t>*t</t>
    </r>
    <r>
      <rPr>
        <vertAlign val="subscript"/>
        <sz val="10"/>
        <rFont val="Tahoma"/>
        <family val="2"/>
      </rPr>
      <t>SCR</t>
    </r>
  </si>
  <si>
    <t>Adapted from 2019 EPA Cost Manual, Sec 4, Chp 2 SCR, Equation 2.58</t>
  </si>
  <si>
    <t>Annual Electricity Costs</t>
  </si>
  <si>
    <r>
      <t>AE</t>
    </r>
    <r>
      <rPr>
        <vertAlign val="subscript"/>
        <sz val="10"/>
        <rFont val="Tahoma"/>
        <family val="2"/>
      </rPr>
      <t>cost</t>
    </r>
  </si>
  <si>
    <r>
      <t>P*Cost</t>
    </r>
    <r>
      <rPr>
        <vertAlign val="subscript"/>
        <sz val="10"/>
        <rFont val="Tahoma"/>
        <family val="2"/>
      </rPr>
      <t>elect</t>
    </r>
    <r>
      <rPr>
        <sz val="10"/>
        <rFont val="Tahoma"/>
        <family val="2"/>
      </rPr>
      <t>*t</t>
    </r>
    <r>
      <rPr>
        <vertAlign val="subscript"/>
        <sz val="10"/>
        <rFont val="Tahoma"/>
        <family val="2"/>
      </rPr>
      <t>SCR</t>
    </r>
    <r>
      <rPr>
        <sz val="10"/>
        <rFont val="Tahoma"/>
        <family val="2"/>
      </rPr>
      <t xml:space="preserve"> = (0.1*Q</t>
    </r>
    <r>
      <rPr>
        <vertAlign val="subscript"/>
        <sz val="10"/>
        <rFont val="Tahoma"/>
        <family val="2"/>
      </rPr>
      <t>B</t>
    </r>
    <r>
      <rPr>
        <sz val="10"/>
        <rFont val="Tahoma"/>
        <family val="2"/>
      </rPr>
      <t>)*1,000*0.0056*(CoalF*HRF)</t>
    </r>
    <r>
      <rPr>
        <vertAlign val="superscript"/>
        <sz val="10"/>
        <rFont val="Tahoma"/>
        <family val="2"/>
      </rPr>
      <t>0.43</t>
    </r>
    <r>
      <rPr>
        <sz val="10"/>
        <rFont val="Tahoma"/>
        <family val="2"/>
      </rPr>
      <t>* Cost</t>
    </r>
    <r>
      <rPr>
        <vertAlign val="subscript"/>
        <sz val="10"/>
        <rFont val="Tahoma"/>
        <family val="2"/>
      </rPr>
      <t>elect</t>
    </r>
    <r>
      <rPr>
        <sz val="10"/>
        <rFont val="Tahoma"/>
        <family val="2"/>
      </rPr>
      <t>*t</t>
    </r>
    <r>
      <rPr>
        <vertAlign val="subscript"/>
        <sz val="10"/>
        <rFont val="Tahoma"/>
        <family val="2"/>
      </rPr>
      <t>SCR</t>
    </r>
  </si>
  <si>
    <t>Adapted from 2019 EPA Cost Manual, Sec 4, Chp 2 SCR, Equations 2.61 &amp; 2.62; CoalF assumed 1 per 2019 EPA Cost Manual, Sec 4, Chp 2 SCR, Part 2.4.1.3; HRF assumed 1 per 2019 EPA Cost Manual, Sec 4, Chp 2 SCR, Part 2.3.2 (NPHR=10)</t>
  </si>
  <si>
    <t>Annual Continuous Monitoring System Cost</t>
  </si>
  <si>
    <r>
      <t>AnnualMON</t>
    </r>
    <r>
      <rPr>
        <vertAlign val="subscript"/>
        <sz val="10"/>
        <rFont val="Tahoma"/>
        <family val="2"/>
      </rPr>
      <t>cost</t>
    </r>
  </si>
  <si>
    <t>Cost per EMC: Continuous Emission Monitoring Systems CEMS Cost Model Version 3.0 (3/7/2007); Adjusted from 2007 dollar; Includes a 15% contingency factor to account for annual Ammonia Slip monitor QAQC which has not been esimated via the EMC Cost Model</t>
  </si>
  <si>
    <t>Catalyst Replacement Costs</t>
  </si>
  <si>
    <r>
      <t>CR</t>
    </r>
    <r>
      <rPr>
        <vertAlign val="subscript"/>
        <sz val="10"/>
        <rFont val="Tahoma"/>
        <family val="2"/>
      </rPr>
      <t>cost</t>
    </r>
  </si>
  <si>
    <r>
      <t>n</t>
    </r>
    <r>
      <rPr>
        <vertAlign val="subscript"/>
        <sz val="10"/>
        <rFont val="Tahoma"/>
        <family val="2"/>
      </rPr>
      <t>SCR</t>
    </r>
    <r>
      <rPr>
        <sz val="10"/>
        <rFont val="Tahoma"/>
        <family val="2"/>
      </rPr>
      <t>*Vol</t>
    </r>
    <r>
      <rPr>
        <vertAlign val="subscript"/>
        <sz val="10"/>
        <rFont val="Tahoma"/>
        <family val="2"/>
      </rPr>
      <t>cat</t>
    </r>
    <r>
      <rPr>
        <sz val="10"/>
        <rFont val="Tahoma"/>
        <family val="2"/>
      </rPr>
      <t>*(CC</t>
    </r>
    <r>
      <rPr>
        <vertAlign val="subscript"/>
        <sz val="10"/>
        <rFont val="Tahoma"/>
        <family val="2"/>
      </rPr>
      <t>initial</t>
    </r>
    <r>
      <rPr>
        <sz val="10"/>
        <rFont val="Tahoma"/>
        <family val="2"/>
      </rPr>
      <t>/n</t>
    </r>
    <r>
      <rPr>
        <vertAlign val="subscript"/>
        <sz val="10"/>
        <rFont val="Tahoma"/>
        <family val="2"/>
      </rPr>
      <t>layer</t>
    </r>
    <r>
      <rPr>
        <sz val="10"/>
        <rFont val="Tahoma"/>
        <family val="2"/>
      </rPr>
      <t>)</t>
    </r>
  </si>
  <si>
    <r>
      <t>Adapted from 2019 EPA Cost Manual, Sec 4, Chp 2 SCR, Equation 2.63; Conservatively assumes replacing 1 layer at a time vs full replacement (n</t>
    </r>
    <r>
      <rPr>
        <vertAlign val="subscript"/>
        <sz val="10"/>
        <rFont val="Tahoma"/>
        <family val="2"/>
      </rPr>
      <t>layer</t>
    </r>
    <r>
      <rPr>
        <sz val="10"/>
        <rFont val="Tahoma"/>
        <family val="2"/>
      </rPr>
      <t>=R</t>
    </r>
    <r>
      <rPr>
        <vertAlign val="subscript"/>
        <sz val="10"/>
        <rFont val="Tahoma"/>
        <family val="2"/>
      </rPr>
      <t>layer</t>
    </r>
    <r>
      <rPr>
        <sz val="10"/>
        <rFont val="Tahoma"/>
        <family val="2"/>
      </rPr>
      <t>)</t>
    </r>
  </si>
  <si>
    <t>Future Worth Factor</t>
  </si>
  <si>
    <t>FWF</t>
  </si>
  <si>
    <r>
      <t>i*[1/(1+i)</t>
    </r>
    <r>
      <rPr>
        <vertAlign val="superscript"/>
        <sz val="10"/>
        <rFont val="Tahoma"/>
        <family val="2"/>
      </rPr>
      <t>hcatalyst/tSCR</t>
    </r>
    <r>
      <rPr>
        <sz val="10"/>
        <rFont val="Tahoma"/>
        <family val="2"/>
      </rPr>
      <t>-1)</t>
    </r>
  </si>
  <si>
    <t>Adapted from 2019 EPA Cost Manual, Sec 4, Chp 2 SCR, Equations 2.65 and 2.66</t>
  </si>
  <si>
    <t>Annual Catalyst Replacement Cost</t>
  </si>
  <si>
    <r>
      <t>ACR</t>
    </r>
    <r>
      <rPr>
        <vertAlign val="subscript"/>
        <sz val="10"/>
        <rFont val="Tahoma"/>
        <family val="2"/>
      </rPr>
      <t>cost</t>
    </r>
  </si>
  <si>
    <r>
      <t>CR</t>
    </r>
    <r>
      <rPr>
        <vertAlign val="subscript"/>
        <sz val="10"/>
        <rFont val="Tahoma"/>
        <family val="2"/>
      </rPr>
      <t>cost</t>
    </r>
    <r>
      <rPr>
        <sz val="10"/>
        <rFont val="Tahoma"/>
        <family val="2"/>
      </rPr>
      <t>*FWF</t>
    </r>
  </si>
  <si>
    <t>Per 2019 EPA Cost Manual, Sec 4, Chp 2 SCR, Equation 2.64.</t>
  </si>
  <si>
    <t>Annual Natural Gas Cost for Reheat</t>
  </si>
  <si>
    <r>
      <t>NG</t>
    </r>
    <r>
      <rPr>
        <vertAlign val="subscript"/>
        <sz val="10"/>
        <rFont val="Tahoma"/>
        <family val="2"/>
      </rPr>
      <t>cost</t>
    </r>
  </si>
  <si>
    <r>
      <t>NG</t>
    </r>
    <r>
      <rPr>
        <vertAlign val="subscript"/>
        <sz val="10"/>
        <rFont val="Tahoma"/>
        <family val="2"/>
      </rPr>
      <t>required</t>
    </r>
    <r>
      <rPr>
        <sz val="10"/>
        <rFont val="Tahoma"/>
        <family val="2"/>
      </rPr>
      <t>*Cost</t>
    </r>
    <r>
      <rPr>
        <vertAlign val="subscript"/>
        <sz val="10"/>
        <rFont val="Tahoma"/>
        <family val="2"/>
      </rPr>
      <t>NG</t>
    </r>
  </si>
  <si>
    <t>Density of Air at Exhaust Temp</t>
  </si>
  <si>
    <r>
      <rPr>
        <i/>
        <sz val="10"/>
        <rFont val="Calibri"/>
        <family val="2"/>
      </rPr>
      <t>ρ</t>
    </r>
    <r>
      <rPr>
        <i/>
        <vertAlign val="subscript"/>
        <sz val="10"/>
        <rFont val="Tahoma"/>
        <family val="2"/>
      </rPr>
      <t>air</t>
    </r>
  </si>
  <si>
    <t>n/V=P/(R*T)</t>
  </si>
  <si>
    <t>lb-mole/scf</t>
  </si>
  <si>
    <r>
      <t>Calculated using Ideal Gas Law at standard condition of 14.7 psi and Exhaust Gas Temperature (T) where Ideal Gas Constant (R) = 10.731577089016 psi⋅ft</t>
    </r>
    <r>
      <rPr>
        <i/>
        <vertAlign val="superscript"/>
        <sz val="10"/>
        <rFont val="Tahoma"/>
        <family val="2"/>
      </rPr>
      <t>3</t>
    </r>
    <r>
      <rPr>
        <i/>
        <sz val="10"/>
        <rFont val="Tahoma"/>
        <family val="2"/>
      </rPr>
      <t>⋅/ lb-mole⋅°R</t>
    </r>
  </si>
  <si>
    <t>Specific Heat of Air at Exhaust Temp</t>
  </si>
  <si>
    <r>
      <t>C</t>
    </r>
    <r>
      <rPr>
        <i/>
        <vertAlign val="subscript"/>
        <sz val="10"/>
        <rFont val="Tahoma"/>
        <family val="2"/>
      </rPr>
      <t>p</t>
    </r>
  </si>
  <si>
    <t>Btu/lb-°F * 29 lb/lb-mole</t>
  </si>
  <si>
    <t>Btu/lb-mole °F</t>
  </si>
  <si>
    <t>Calculated using Specific Heat of Air at Exhaust Gas Temperature (T) (Btu/lb-°F) x Molecular Weight of Air (29 lb/lb-mole)</t>
  </si>
  <si>
    <t>Reheat Burner Heat Input Requirement</t>
  </si>
  <si>
    <t>Reheat</t>
  </si>
  <si>
    <t>Btu/acf</t>
  </si>
  <si>
    <t>Natural Gas Required for Reheat</t>
  </si>
  <si>
    <r>
      <t>NG</t>
    </r>
    <r>
      <rPr>
        <i/>
        <vertAlign val="subscript"/>
        <sz val="10"/>
        <rFont val="Tahoma"/>
        <family val="2"/>
      </rPr>
      <t>required</t>
    </r>
  </si>
  <si>
    <t>Mcf/year</t>
  </si>
  <si>
    <r>
      <t>Natural Gas HHV (1,020 MMBtu/10</t>
    </r>
    <r>
      <rPr>
        <i/>
        <vertAlign val="superscript"/>
        <sz val="10"/>
        <rFont val="Tahoma"/>
        <family val="2"/>
      </rPr>
      <t>6</t>
    </r>
    <r>
      <rPr>
        <i/>
        <sz val="10"/>
        <rFont val="Tahoma"/>
        <family val="2"/>
      </rPr>
      <t xml:space="preserve"> scf) per AP-42 Chapter 1.4 (July 1998)</t>
    </r>
  </si>
  <si>
    <r>
      <t>DA</t>
    </r>
    <r>
      <rPr>
        <vertAlign val="subscript"/>
        <sz val="10"/>
        <rFont val="Tahoma"/>
        <family val="2"/>
      </rPr>
      <t>cost</t>
    </r>
  </si>
  <si>
    <r>
      <t>OL</t>
    </r>
    <r>
      <rPr>
        <vertAlign val="subscript"/>
        <sz val="10"/>
        <rFont val="Tahoma"/>
        <family val="2"/>
      </rPr>
      <t>cost</t>
    </r>
    <r>
      <rPr>
        <sz val="10"/>
        <rFont val="Tahoma"/>
        <family val="2"/>
      </rPr>
      <t>+SL</t>
    </r>
    <r>
      <rPr>
        <vertAlign val="subscript"/>
        <sz val="10"/>
        <rFont val="Tahoma"/>
        <family val="2"/>
      </rPr>
      <t>cost</t>
    </r>
    <r>
      <rPr>
        <sz val="10"/>
        <rFont val="Tahoma"/>
        <family val="2"/>
      </rPr>
      <t>+AM</t>
    </r>
    <r>
      <rPr>
        <vertAlign val="subscript"/>
        <sz val="10"/>
        <rFont val="Tahoma"/>
        <family val="2"/>
      </rPr>
      <t>cost</t>
    </r>
    <r>
      <rPr>
        <sz val="10"/>
        <rFont val="Tahoma"/>
        <family val="2"/>
      </rPr>
      <t>+AR</t>
    </r>
    <r>
      <rPr>
        <vertAlign val="subscript"/>
        <sz val="10"/>
        <rFont val="Tahoma"/>
        <family val="2"/>
      </rPr>
      <t>cost</t>
    </r>
    <r>
      <rPr>
        <sz val="10"/>
        <rFont val="Tahoma"/>
        <family val="2"/>
      </rPr>
      <t>+ AE</t>
    </r>
    <r>
      <rPr>
        <vertAlign val="subscript"/>
        <sz val="10"/>
        <rFont val="Tahoma"/>
        <family val="2"/>
      </rPr>
      <t>cost</t>
    </r>
    <r>
      <rPr>
        <sz val="10"/>
        <rFont val="Tahoma"/>
        <family val="2"/>
      </rPr>
      <t>+AnnualMON</t>
    </r>
    <r>
      <rPr>
        <vertAlign val="subscript"/>
        <sz val="10"/>
        <rFont val="Tahoma"/>
        <family val="2"/>
      </rPr>
      <t>cost</t>
    </r>
    <r>
      <rPr>
        <sz val="10"/>
        <rFont val="Tahoma"/>
        <family val="2"/>
      </rPr>
      <t>+ ACR</t>
    </r>
    <r>
      <rPr>
        <vertAlign val="subscript"/>
        <sz val="10"/>
        <rFont val="Tahoma"/>
        <family val="2"/>
      </rPr>
      <t>cost</t>
    </r>
    <r>
      <rPr>
        <sz val="10"/>
        <rFont val="Tahoma"/>
        <family val="2"/>
      </rPr>
      <t>+NG</t>
    </r>
    <r>
      <rPr>
        <vertAlign val="subscript"/>
        <sz val="10"/>
        <rFont val="Tahoma"/>
        <family val="2"/>
      </rPr>
      <t>cost</t>
    </r>
  </si>
  <si>
    <t>$/year</t>
  </si>
  <si>
    <t>Adapted from 2019 EPA Cost Manual, Sec 4, Chp 2 SCR, Equation 2.56.</t>
  </si>
  <si>
    <t>Indirect Annual Costs</t>
  </si>
  <si>
    <t>Administrative Charges</t>
  </si>
  <si>
    <r>
      <t>A</t>
    </r>
    <r>
      <rPr>
        <vertAlign val="subscript"/>
        <sz val="10"/>
        <rFont val="Tahoma"/>
        <family val="2"/>
      </rPr>
      <t>cost</t>
    </r>
  </si>
  <si>
    <r>
      <t>0.03*OL</t>
    </r>
    <r>
      <rPr>
        <vertAlign val="subscript"/>
        <sz val="10"/>
        <rFont val="Tahoma"/>
        <family val="2"/>
      </rPr>
      <t>cost</t>
    </r>
    <r>
      <rPr>
        <sz val="10"/>
        <rFont val="Tahoma"/>
        <family val="2"/>
      </rPr>
      <t>+0.4*AM</t>
    </r>
    <r>
      <rPr>
        <vertAlign val="subscript"/>
        <sz val="10"/>
        <rFont val="Tahoma"/>
        <family val="2"/>
      </rPr>
      <t>cost</t>
    </r>
  </si>
  <si>
    <t>Per 2019 EPA Cost Manual, Sec 4, Chp 2 SCR, Equation 2.69.</t>
  </si>
  <si>
    <t>Overhead Costs</t>
  </si>
  <si>
    <r>
      <t>O</t>
    </r>
    <r>
      <rPr>
        <vertAlign val="subscript"/>
        <sz val="10"/>
        <rFont val="Tahoma"/>
        <family val="2"/>
      </rPr>
      <t>cost</t>
    </r>
  </si>
  <si>
    <r>
      <t>0.6*(OL</t>
    </r>
    <r>
      <rPr>
        <vertAlign val="subscript"/>
        <sz val="10"/>
        <rFont val="Tahoma"/>
        <family val="2"/>
      </rPr>
      <t>cost</t>
    </r>
    <r>
      <rPr>
        <sz val="10"/>
        <rFont val="Tahoma"/>
        <family val="2"/>
      </rPr>
      <t>+SL</t>
    </r>
    <r>
      <rPr>
        <vertAlign val="subscript"/>
        <sz val="10"/>
        <rFont val="Tahoma"/>
        <family val="2"/>
      </rPr>
      <t>cost</t>
    </r>
    <r>
      <rPr>
        <sz val="10"/>
        <rFont val="Tahoma"/>
        <family val="2"/>
      </rPr>
      <t>+AM</t>
    </r>
    <r>
      <rPr>
        <vertAlign val="subscript"/>
        <sz val="10"/>
        <rFont val="Tahoma"/>
        <family val="2"/>
      </rPr>
      <t>cost</t>
    </r>
    <r>
      <rPr>
        <sz val="10"/>
        <rFont val="Tahoma"/>
        <family val="2"/>
      </rPr>
      <t>)</t>
    </r>
  </si>
  <si>
    <t>Per 2002 EPA Cost Manual, Sec 4, Chp 2 SCR, Part 1.5.2.</t>
  </si>
  <si>
    <t>IAcost</t>
  </si>
  <si>
    <r>
      <t>A</t>
    </r>
    <r>
      <rPr>
        <vertAlign val="subscript"/>
        <sz val="10"/>
        <rFont val="Tahoma"/>
        <family val="2"/>
      </rPr>
      <t>cost</t>
    </r>
    <r>
      <rPr>
        <sz val="10"/>
        <rFont val="Tahoma"/>
        <family val="2"/>
      </rPr>
      <t>+O</t>
    </r>
    <r>
      <rPr>
        <vertAlign val="subscript"/>
        <sz val="10"/>
        <rFont val="Tahoma"/>
        <family val="2"/>
      </rPr>
      <t>cost</t>
    </r>
  </si>
  <si>
    <t>Per 2019 EPA Cost Manual, Sec 4, Chp 2 SCR, Equation 2.68</t>
  </si>
  <si>
    <t>Annualized Capital Costs</t>
  </si>
  <si>
    <t>Interest Rate</t>
  </si>
  <si>
    <t>i</t>
  </si>
  <si>
    <t>SCR System Life</t>
  </si>
  <si>
    <t>Life</t>
  </si>
  <si>
    <t>years</t>
  </si>
  <si>
    <t>Assumes 20 year life of equipment per 2019 EPA Cost Manual, Sec 4, Chp 2 SCR, Part 2.4.2.</t>
  </si>
  <si>
    <t>Capital Recovery Factor</t>
  </si>
  <si>
    <t>CRF</t>
  </si>
  <si>
    <r>
      <t>i(1+i)</t>
    </r>
    <r>
      <rPr>
        <vertAlign val="superscript"/>
        <sz val="10"/>
        <rFont val="Tahoma"/>
        <family val="2"/>
      </rPr>
      <t>life</t>
    </r>
    <r>
      <rPr>
        <sz val="10"/>
        <rFont val="Tahoma"/>
        <family val="2"/>
      </rPr>
      <t>/((1+i)</t>
    </r>
    <r>
      <rPr>
        <vertAlign val="superscript"/>
        <sz val="10"/>
        <rFont val="Tahoma"/>
        <family val="2"/>
      </rPr>
      <t>life</t>
    </r>
    <r>
      <rPr>
        <sz val="10"/>
        <rFont val="Tahoma"/>
        <family val="2"/>
      </rPr>
      <t>-1)</t>
    </r>
  </si>
  <si>
    <t>Per 2019 EPA Cost Manual, Sec 4, Chp 2 SCR, Equation 2.71</t>
  </si>
  <si>
    <t>Annualized Capital Cost</t>
  </si>
  <si>
    <r>
      <t>AC</t>
    </r>
    <r>
      <rPr>
        <vertAlign val="subscript"/>
        <sz val="10"/>
        <rFont val="Tahoma"/>
        <family val="2"/>
      </rPr>
      <t>cost</t>
    </r>
  </si>
  <si>
    <t>CRF*TCI</t>
  </si>
  <si>
    <t>Per 2019 EPA Cost Manual, Sec 4, Chp 2 SCR, Equation 2.70</t>
  </si>
  <si>
    <t>TAC</t>
  </si>
  <si>
    <t>ACcost+DAcost+IAcost</t>
  </si>
  <si>
    <t>Per 2019 EPA Cost Manual, Sec 4, Chp 2 SCR, Equation 2.72.</t>
  </si>
  <si>
    <t xml:space="preserve">Cost Effectiveness </t>
  </si>
  <si>
    <t>NOx Removed Per Year</t>
  </si>
  <si>
    <r>
      <t>NOx</t>
    </r>
    <r>
      <rPr>
        <vertAlign val="subscript"/>
        <sz val="10"/>
        <rFont val="Tahoma"/>
        <family val="2"/>
      </rPr>
      <t>removed</t>
    </r>
  </si>
  <si>
    <r>
      <t>NOx</t>
    </r>
    <r>
      <rPr>
        <vertAlign val="subscript"/>
        <sz val="10"/>
        <rFont val="Tahoma"/>
        <family val="2"/>
      </rPr>
      <t>in</t>
    </r>
    <r>
      <rPr>
        <sz val="10"/>
        <rFont val="Tahoma"/>
        <family val="2"/>
      </rPr>
      <t>*η</t>
    </r>
    <r>
      <rPr>
        <vertAlign val="subscript"/>
        <sz val="10"/>
        <rFont val="Tahoma"/>
        <family val="2"/>
      </rPr>
      <t>NOx</t>
    </r>
    <r>
      <rPr>
        <sz val="10"/>
        <rFont val="Tahoma"/>
        <family val="2"/>
      </rPr>
      <t>*Q</t>
    </r>
    <r>
      <rPr>
        <vertAlign val="subscript"/>
        <sz val="10"/>
        <rFont val="Tahoma"/>
        <family val="2"/>
      </rPr>
      <t>B</t>
    </r>
    <r>
      <rPr>
        <sz val="10"/>
        <rFont val="Tahoma"/>
        <family val="2"/>
      </rPr>
      <t>*AOH/2,000 lb/ton</t>
    </r>
  </si>
  <si>
    <t>ton/yr</t>
  </si>
  <si>
    <t>Cost Effectiveness (2021$)</t>
  </si>
  <si>
    <r>
      <t>TAC/NOx</t>
    </r>
    <r>
      <rPr>
        <b/>
        <vertAlign val="subscript"/>
        <sz val="10"/>
        <rFont val="Tahoma"/>
        <family val="2"/>
      </rPr>
      <t>removed</t>
    </r>
  </si>
  <si>
    <t>$/ton</t>
  </si>
  <si>
    <t>Per 2019 EPA Cost Manual, Sec 4, Chp 2 SCR, Equation 2.73</t>
  </si>
  <si>
    <t>Chemical Engineering Plant Cost Index:</t>
  </si>
  <si>
    <t>Year</t>
  </si>
  <si>
    <t>Index</t>
  </si>
  <si>
    <t>Data per: https://www.engineeringtoolbox.com/air-specific-heat-capacity-d_705.html</t>
  </si>
  <si>
    <t>Temperature</t>
  </si>
  <si>
    <t>Isochoric specific heat (Cv)</t>
  </si>
  <si>
    <t>Isobaric specific heat (Cp)</t>
  </si>
  <si>
    <t>Cp/Cv</t>
  </si>
  <si>
    <t>[K]</t>
  </si>
  <si>
    <t>[°C]</t>
  </si>
  <si>
    <t>[°F]</t>
  </si>
  <si>
    <t>[kJ/mol K]</t>
  </si>
  <si>
    <t>[kJ/kg K]</t>
  </si>
  <si>
    <t>[kWh/
(kg K)]</t>
  </si>
  <si>
    <t>[kcal(IT)/
(kg K)]</t>
  </si>
  <si>
    <t>[kcal(IT)/
(lb °F)]</t>
  </si>
  <si>
    <t>[kJ/
mol K]</t>
  </si>
  <si>
    <t>[kJ/
kg K]</t>
  </si>
  <si>
    <t>[(kW h)/
(kg K)]</t>
  </si>
  <si>
    <t>[Btu(IT)/
lb °F]</t>
  </si>
  <si>
    <t>The CEMS section cost estimate is based on EPA's CEMS Cost Model (3/7/07):</t>
  </si>
  <si>
    <t>https://www.epa.gov/emc/emc-continuous-emission-monitoring-systems</t>
  </si>
  <si>
    <t>https://www.epa.gov/sites/production/files/2020-08/19-cems.xls</t>
  </si>
  <si>
    <r>
      <t xml:space="preserve">This spreadsheet calculates costs for </t>
    </r>
    <r>
      <rPr>
        <sz val="10"/>
        <rFont val="Arial"/>
        <family val="2"/>
      </rPr>
      <t>CEMS consisting of any of the following:</t>
    </r>
  </si>
  <si>
    <t>Date updated:</t>
  </si>
  <si>
    <t>- extractive analyzers for gaseous pollutants, including Hg</t>
  </si>
  <si>
    <t>- insitu opacity monitors</t>
  </si>
  <si>
    <t>- extractive and insitu PM monitors</t>
  </si>
  <si>
    <t>- bag leak detectors</t>
  </si>
  <si>
    <t>This sheet describes the steps to using the spreadsheet and asks the user to specify the design</t>
  </si>
  <si>
    <t xml:space="preserve">  of the CEMS; sheet "V" contains the default variables; sheet "F" calculates the adjustment factors for </t>
  </si>
  <si>
    <r>
      <t xml:space="preserve">  non "base case" CEMS (base case is 4 gas analyzers after control--specifically, CO, NO</t>
    </r>
    <r>
      <rPr>
        <vertAlign val="subscript"/>
        <sz val="10"/>
        <rFont val="Arial"/>
        <family val="2"/>
      </rPr>
      <t>x</t>
    </r>
    <r>
      <rPr>
        <sz val="11"/>
        <color theme="1"/>
        <rFont val="Calibri"/>
        <family val="2"/>
        <scheme val="minor"/>
      </rPr>
      <t>, SO</t>
    </r>
    <r>
      <rPr>
        <vertAlign val="subscript"/>
        <sz val="10"/>
        <rFont val="Arial"/>
        <family val="2"/>
      </rPr>
      <t>2</t>
    </r>
    <r>
      <rPr>
        <sz val="11"/>
        <color theme="1"/>
        <rFont val="Calibri"/>
        <family val="2"/>
        <scheme val="minor"/>
      </rPr>
      <t>,</t>
    </r>
  </si>
  <si>
    <t xml:space="preserve">  and diluent--and an opacity monitor); sheet "Costs" calculates the first costs and annual costs.</t>
  </si>
  <si>
    <t>1.  Indicate the number of analyzers/monitors (0 or 1) before and after control.  Use the after control column if there is no control.</t>
  </si>
  <si>
    <t>Analyzers</t>
  </si>
  <si>
    <t>BEFORE</t>
  </si>
  <si>
    <t>AFTER</t>
  </si>
  <si>
    <t xml:space="preserve">   CO</t>
  </si>
  <si>
    <r>
      <t xml:space="preserve">   SO</t>
    </r>
    <r>
      <rPr>
        <vertAlign val="subscript"/>
        <sz val="10"/>
        <rFont val="Arial"/>
        <family val="2"/>
      </rPr>
      <t>2</t>
    </r>
  </si>
  <si>
    <r>
      <t xml:space="preserve">   NO</t>
    </r>
    <r>
      <rPr>
        <vertAlign val="subscript"/>
        <sz val="10"/>
        <rFont val="Arial"/>
        <family val="2"/>
      </rPr>
      <t>X</t>
    </r>
  </si>
  <si>
    <t xml:space="preserve">   HCl</t>
  </si>
  <si>
    <t xml:space="preserve">   Mercury (and CO2/O2)</t>
  </si>
  <si>
    <r>
      <t xml:space="preserve">   CO</t>
    </r>
    <r>
      <rPr>
        <vertAlign val="subscript"/>
        <sz val="10"/>
        <rFont val="Arial"/>
        <family val="2"/>
      </rPr>
      <t>2</t>
    </r>
  </si>
  <si>
    <r>
      <t xml:space="preserve">   O</t>
    </r>
    <r>
      <rPr>
        <vertAlign val="subscript"/>
        <sz val="10"/>
        <rFont val="Arial"/>
        <family val="2"/>
      </rPr>
      <t>2</t>
    </r>
  </si>
  <si>
    <t xml:space="preserve">   THC</t>
  </si>
  <si>
    <t>Monitors</t>
  </si>
  <si>
    <t xml:space="preserve">   OPACITY</t>
  </si>
  <si>
    <t xml:space="preserve">   FLOW</t>
  </si>
  <si>
    <t xml:space="preserve">   PM (beta gauge)</t>
  </si>
  <si>
    <t xml:space="preserve">   PM (light scattering; insitu)</t>
  </si>
  <si>
    <t xml:space="preserve">   PM (light scattering; extractive)</t>
  </si>
  <si>
    <t>Bag leak detector</t>
  </si>
  <si>
    <t xml:space="preserve">   Number of fabric filters to be monitored=</t>
  </si>
  <si>
    <t xml:space="preserve">   Number of sensors=</t>
  </si>
  <si>
    <t>2.  Answer the following questions regarding the system design by filling in the appropriate entry in column "F"</t>
  </si>
  <si>
    <t>Best and final meeting (y/n)?</t>
  </si>
  <si>
    <t xml:space="preserve">   Gas pollutant and Hg analyzer vendors</t>
  </si>
  <si>
    <t>y</t>
  </si>
  <si>
    <t xml:space="preserve">   PM monitor vendors</t>
  </si>
  <si>
    <t>n</t>
  </si>
  <si>
    <t xml:space="preserve">   BLD vendors</t>
  </si>
  <si>
    <t>Conduct FAT (y/n)?</t>
  </si>
  <si>
    <t>Note:  model assumes no FAT if CEMS consists only of opacity monitor or BLD system</t>
  </si>
  <si>
    <t>Crane rental needed to install extractive PM CEMS (y/n)?</t>
  </si>
  <si>
    <t>Number of new platforms needed after control (default zero; max of 3)</t>
  </si>
  <si>
    <t>Number of new platforms needed before control (default zero; max of 3)</t>
  </si>
  <si>
    <t>New or existing facility (n/e)?</t>
  </si>
  <si>
    <t>For existing source, does the facility already have other CEMS for this stack (y/n)?</t>
  </si>
  <si>
    <t>For existing source, is electricity already available where needed for the CEMS (y/n)?</t>
  </si>
  <si>
    <t>Is corporate engineer responsible for overseeing selection and installation onsite or offsite (on/off)?</t>
  </si>
  <si>
    <t>off</t>
  </si>
  <si>
    <t>3.  Check results on "Costs" sheet, or click on the button below to print a summary of the costs.</t>
  </si>
  <si>
    <t>4.  Repeat above steps or modify default variables as desired.</t>
  </si>
  <si>
    <t>Default and other unit values</t>
  </si>
  <si>
    <t>Original</t>
  </si>
  <si>
    <t>Wage rates, w/o overhead, $/hr</t>
  </si>
  <si>
    <t>values</t>
  </si>
  <si>
    <t xml:space="preserve">   CEE</t>
  </si>
  <si>
    <t xml:space="preserve">   plant technician</t>
  </si>
  <si>
    <t xml:space="preserve">   consultant/vendor</t>
  </si>
  <si>
    <t xml:space="preserve">   test crew (avg)</t>
  </si>
  <si>
    <t>Overhead factors (fraction of wage)</t>
  </si>
  <si>
    <t xml:space="preserve">   consultant</t>
  </si>
  <si>
    <t xml:space="preserve">   test crew</t>
  </si>
  <si>
    <t>Operating time per year</t>
  </si>
  <si>
    <t xml:space="preserve">   days</t>
  </si>
  <si>
    <t xml:space="preserve">   weeks</t>
  </si>
  <si>
    <t xml:space="preserve">   months</t>
  </si>
  <si>
    <t>Equipment prices, $</t>
  </si>
  <si>
    <t xml:space="preserve">   CO analyzer</t>
  </si>
  <si>
    <t xml:space="preserve">   SO2 analyzer</t>
  </si>
  <si>
    <t xml:space="preserve">   NOX analyzer</t>
  </si>
  <si>
    <t xml:space="preserve">   HCL analyzer</t>
  </si>
  <si>
    <t xml:space="preserve">   CO2 analyzer</t>
  </si>
  <si>
    <t xml:space="preserve">   O2 analyzer</t>
  </si>
  <si>
    <t xml:space="preserve">   THC analyzer</t>
  </si>
  <si>
    <t xml:space="preserve">   opacity monitor</t>
  </si>
  <si>
    <t xml:space="preserve">   flow monitor</t>
  </si>
  <si>
    <t xml:space="preserve">   beta guage PM monitor</t>
  </si>
  <si>
    <t xml:space="preserve">   light scattering PM monitor</t>
  </si>
  <si>
    <t xml:space="preserve">        extractive</t>
  </si>
  <si>
    <t xml:space="preserve">        insitu</t>
  </si>
  <si>
    <t xml:space="preserve">   mercury system (sampling, Hg</t>
  </si>
  <si>
    <t xml:space="preserve">      analyzer, CO2/O2 analyzer, PLC,</t>
  </si>
  <si>
    <t xml:space="preserve">      data acquisition, etc.)</t>
  </si>
  <si>
    <t xml:space="preserve">   bag leak detection base system</t>
  </si>
  <si>
    <t xml:space="preserve">          for one sensor</t>
  </si>
  <si>
    <t xml:space="preserve">   each additional sensor for BLD</t>
  </si>
  <si>
    <t xml:space="preserve">          system</t>
  </si>
  <si>
    <t xml:space="preserve">   PLC, input/output modules, </t>
  </si>
  <si>
    <t xml:space="preserve">         communications, touch-</t>
  </si>
  <si>
    <t xml:space="preserve">         screen display, programming</t>
  </si>
  <si>
    <t xml:space="preserve">   DAS for baseline CEMS</t>
  </si>
  <si>
    <t xml:space="preserve">   sampling system for gas analyzers</t>
  </si>
  <si>
    <t xml:space="preserve">       before control</t>
  </si>
  <si>
    <t xml:space="preserve">       after control</t>
  </si>
  <si>
    <t xml:space="preserve">   sampling system for extractive</t>
  </si>
  <si>
    <t xml:space="preserve">       PM monitor</t>
  </si>
  <si>
    <t xml:space="preserve">   environmentally controlled</t>
  </si>
  <si>
    <t xml:space="preserve">        shelter</t>
  </si>
  <si>
    <t>Factory acceptance test</t>
  </si>
  <si>
    <t xml:space="preserve">    -base gas CEMS (4 pollutants)</t>
  </si>
  <si>
    <t xml:space="preserve">    -PM monitor</t>
  </si>
  <si>
    <t>Training fee, w/o travel expenses</t>
  </si>
  <si>
    <t xml:space="preserve">   per day</t>
  </si>
  <si>
    <t xml:space="preserve">   baseline gas analyzers, days</t>
  </si>
  <si>
    <t xml:space="preserve">   PM monitor, days</t>
  </si>
  <si>
    <t>Travel costs for test contractor</t>
  </si>
  <si>
    <t xml:space="preserve">   Travel time, round trip, hr</t>
  </si>
  <si>
    <t xml:space="preserve">   travel expense (gas), $</t>
  </si>
  <si>
    <t xml:space="preserve">   per diem, $/d</t>
  </si>
  <si>
    <t>Travel costs for CEE (if located offsite)</t>
  </si>
  <si>
    <t xml:space="preserve">   travel fare, $</t>
  </si>
  <si>
    <t>Travel costs for consultant</t>
  </si>
  <si>
    <t xml:space="preserve">   travel time, round trip, hr</t>
  </si>
  <si>
    <t>Travel costs for vendor</t>
  </si>
  <si>
    <t xml:space="preserve">   car rental, $/d</t>
  </si>
  <si>
    <t>Fee for test contractor, vendor,</t>
  </si>
  <si>
    <t xml:space="preserve">    and consultant, percent</t>
  </si>
  <si>
    <t>Compliance reports per year</t>
  </si>
  <si>
    <t>Startup fee by vendor</t>
  </si>
  <si>
    <t xml:space="preserve">    any gas analyzer</t>
  </si>
  <si>
    <t xml:space="preserve">    PM monitor</t>
  </si>
  <si>
    <t xml:space="preserve">    opacity monitor</t>
  </si>
  <si>
    <t>GMF1</t>
  </si>
  <si>
    <t>OM1</t>
  </si>
  <si>
    <t>MC1</t>
  </si>
  <si>
    <t>P1</t>
  </si>
  <si>
    <t>EM1</t>
  </si>
  <si>
    <t>OP1</t>
  </si>
  <si>
    <t>ACSS</t>
  </si>
  <si>
    <t>BL1</t>
  </si>
  <si>
    <t>V1</t>
  </si>
  <si>
    <t>GMF2</t>
  </si>
  <si>
    <t>OM2</t>
  </si>
  <si>
    <t>MC2</t>
  </si>
  <si>
    <t>P2</t>
  </si>
  <si>
    <t>EM2</t>
  </si>
  <si>
    <t>OP2</t>
  </si>
  <si>
    <t>BCSS</t>
  </si>
  <si>
    <t>BL2</t>
  </si>
  <si>
    <t>V2</t>
  </si>
  <si>
    <t>GMF3</t>
  </si>
  <si>
    <t>OM3</t>
  </si>
  <si>
    <t>MC3</t>
  </si>
  <si>
    <t>P3</t>
  </si>
  <si>
    <t>EM3</t>
  </si>
  <si>
    <t>OP3</t>
  </si>
  <si>
    <t>DAS</t>
  </si>
  <si>
    <t>BL3</t>
  </si>
  <si>
    <t>V3</t>
  </si>
  <si>
    <t>GMF4</t>
  </si>
  <si>
    <t>OM4</t>
  </si>
  <si>
    <t>MC4</t>
  </si>
  <si>
    <t>P4</t>
  </si>
  <si>
    <t>EM4</t>
  </si>
  <si>
    <t>OP4</t>
  </si>
  <si>
    <t>M6</t>
  </si>
  <si>
    <t>BL4</t>
  </si>
  <si>
    <t>V4</t>
  </si>
  <si>
    <t>GMF5</t>
  </si>
  <si>
    <t>OM5</t>
  </si>
  <si>
    <t>MC5</t>
  </si>
  <si>
    <t>P5</t>
  </si>
  <si>
    <t>EM5</t>
  </si>
  <si>
    <t>OP5</t>
  </si>
  <si>
    <t>V11</t>
  </si>
  <si>
    <t>BL5</t>
  </si>
  <si>
    <t>V5</t>
  </si>
  <si>
    <t>GMF6</t>
  </si>
  <si>
    <t>OM6</t>
  </si>
  <si>
    <t>MC6</t>
  </si>
  <si>
    <t>EM6</t>
  </si>
  <si>
    <t>OP6</t>
  </si>
  <si>
    <t>V12</t>
  </si>
  <si>
    <t>BL6</t>
  </si>
  <si>
    <t>V6</t>
  </si>
  <si>
    <t>GMF7</t>
  </si>
  <si>
    <t>OM7</t>
  </si>
  <si>
    <t>MC7</t>
  </si>
  <si>
    <t>EM7</t>
  </si>
  <si>
    <t>OP7</t>
  </si>
  <si>
    <t>V13</t>
  </si>
  <si>
    <t>BL7</t>
  </si>
  <si>
    <t>V7</t>
  </si>
  <si>
    <t>GMF8</t>
  </si>
  <si>
    <t>OM8</t>
  </si>
  <si>
    <t>MC8</t>
  </si>
  <si>
    <t>EM8</t>
  </si>
  <si>
    <t>OP8</t>
  </si>
  <si>
    <t>V14</t>
  </si>
  <si>
    <t>BL8</t>
  </si>
  <si>
    <t>GMF9</t>
  </si>
  <si>
    <t>OM9</t>
  </si>
  <si>
    <t>MC9</t>
  </si>
  <si>
    <t>EM9</t>
  </si>
  <si>
    <t>OP9</t>
  </si>
  <si>
    <t>V15</t>
  </si>
  <si>
    <t>BL9</t>
  </si>
  <si>
    <t>GMF10</t>
  </si>
  <si>
    <t>OM10</t>
  </si>
  <si>
    <t>MC10</t>
  </si>
  <si>
    <t>EM10</t>
  </si>
  <si>
    <t>OP10</t>
  </si>
  <si>
    <t>V21</t>
  </si>
  <si>
    <t>BL10</t>
  </si>
  <si>
    <t>GMF11</t>
  </si>
  <si>
    <t>OM11</t>
  </si>
  <si>
    <t>MC11</t>
  </si>
  <si>
    <t>EM11</t>
  </si>
  <si>
    <t>OP11</t>
  </si>
  <si>
    <t>V22</t>
  </si>
  <si>
    <t>BL11</t>
  </si>
  <si>
    <t>GMF12</t>
  </si>
  <si>
    <t>MC12</t>
  </si>
  <si>
    <t>EM12</t>
  </si>
  <si>
    <t>OP12</t>
  </si>
  <si>
    <t>V23</t>
  </si>
  <si>
    <t>BL12</t>
  </si>
  <si>
    <t>GMF13</t>
  </si>
  <si>
    <t>MC13</t>
  </si>
  <si>
    <t>EM13</t>
  </si>
  <si>
    <t>OP13</t>
  </si>
  <si>
    <t>V24</t>
  </si>
  <si>
    <t>BL13</t>
  </si>
  <si>
    <t>GMF14</t>
  </si>
  <si>
    <t>MC14</t>
  </si>
  <si>
    <t>EM14</t>
  </si>
  <si>
    <t>OP14</t>
  </si>
  <si>
    <t>V25</t>
  </si>
  <si>
    <t>BL14</t>
  </si>
  <si>
    <t>GMF15</t>
  </si>
  <si>
    <t>MC15</t>
  </si>
  <si>
    <t>EM15</t>
  </si>
  <si>
    <t>OP15</t>
  </si>
  <si>
    <t>V41</t>
  </si>
  <si>
    <t>BL15</t>
  </si>
  <si>
    <t>GMF16</t>
  </si>
  <si>
    <t>MC16</t>
  </si>
  <si>
    <t>EM16</t>
  </si>
  <si>
    <t>OP16</t>
  </si>
  <si>
    <t>V42</t>
  </si>
  <si>
    <t>BL16</t>
  </si>
  <si>
    <t>GMF17</t>
  </si>
  <si>
    <t>MC17</t>
  </si>
  <si>
    <t>EM17</t>
  </si>
  <si>
    <t>OP17</t>
  </si>
  <si>
    <t>V43</t>
  </si>
  <si>
    <t>GMF18</t>
  </si>
  <si>
    <t>MC18</t>
  </si>
  <si>
    <t>OP18</t>
  </si>
  <si>
    <t>V44</t>
  </si>
  <si>
    <t>GMF19</t>
  </si>
  <si>
    <t>MC19</t>
  </si>
  <si>
    <t>OP19</t>
  </si>
  <si>
    <t>V45</t>
  </si>
  <si>
    <t>GMF20</t>
  </si>
  <si>
    <t>MC20</t>
  </si>
  <si>
    <t>OP20</t>
  </si>
  <si>
    <t>V51</t>
  </si>
  <si>
    <t>MC21</t>
  </si>
  <si>
    <t>OP21</t>
  </si>
  <si>
    <t>V52</t>
  </si>
  <si>
    <t>MC22</t>
  </si>
  <si>
    <t>OP22</t>
  </si>
  <si>
    <t>V53</t>
  </si>
  <si>
    <t>MC23</t>
  </si>
  <si>
    <t>OP23</t>
  </si>
  <si>
    <t>V54</t>
  </si>
  <si>
    <t>MC24</t>
  </si>
  <si>
    <t>OP24</t>
  </si>
  <si>
    <t>V55</t>
  </si>
  <si>
    <t>MC25</t>
  </si>
  <si>
    <t>OP25</t>
  </si>
  <si>
    <t>W10</t>
  </si>
  <si>
    <t>MC26</t>
  </si>
  <si>
    <t>OP26</t>
  </si>
  <si>
    <t>W11</t>
  </si>
  <si>
    <t>OP27</t>
  </si>
  <si>
    <t>W12</t>
  </si>
  <si>
    <t>MC28</t>
  </si>
  <si>
    <t>OP28</t>
  </si>
  <si>
    <t>W13</t>
  </si>
  <si>
    <t>MC29</t>
  </si>
  <si>
    <t>OP29</t>
  </si>
  <si>
    <t>W7</t>
  </si>
  <si>
    <t>MC30</t>
  </si>
  <si>
    <t>OP30</t>
  </si>
  <si>
    <t>W8</t>
  </si>
  <si>
    <t>MC31</t>
  </si>
  <si>
    <t>OP31</t>
  </si>
  <si>
    <t>W9</t>
  </si>
  <si>
    <t>OP32</t>
  </si>
  <si>
    <t>W16</t>
  </si>
  <si>
    <t>MC33</t>
  </si>
  <si>
    <t>OP33</t>
  </si>
  <si>
    <t>W20</t>
  </si>
  <si>
    <t>MC34</t>
  </si>
  <si>
    <t>OP34</t>
  </si>
  <si>
    <t>W18</t>
  </si>
  <si>
    <t>MC35</t>
  </si>
  <si>
    <t>OP35</t>
  </si>
  <si>
    <t>M9</t>
  </si>
  <si>
    <t>MC36</t>
  </si>
  <si>
    <t>OP36</t>
  </si>
  <si>
    <t>PM (beta)</t>
  </si>
  <si>
    <t>MC37</t>
  </si>
  <si>
    <t>OP37</t>
  </si>
  <si>
    <t>PM (insitu ls)</t>
  </si>
  <si>
    <t>PM (extractive ls)</t>
  </si>
  <si>
    <t>Hg</t>
  </si>
  <si>
    <t>PM  SS</t>
  </si>
  <si>
    <t>BLD base system</t>
  </si>
  <si>
    <t>BLD add'l cost per detector</t>
  </si>
  <si>
    <t>PLC</t>
  </si>
  <si>
    <t>M1</t>
  </si>
  <si>
    <t>vendor startup fee gas/PM</t>
  </si>
  <si>
    <t>vendor startup op/flow</t>
  </si>
  <si>
    <t>Default values</t>
  </si>
  <si>
    <t>training fee (gas analyzers)</t>
  </si>
  <si>
    <t>training fee (PM)</t>
  </si>
  <si>
    <t>M4</t>
  </si>
  <si>
    <t>M5</t>
  </si>
  <si>
    <t>crane rental</t>
  </si>
  <si>
    <t>vendor rent car</t>
  </si>
  <si>
    <t>vendor per diem</t>
  </si>
  <si>
    <t>vendor air fare</t>
  </si>
  <si>
    <t>BLD install per sensor</t>
  </si>
  <si>
    <t>BLD startup fee (w/per</t>
  </si>
  <si>
    <t xml:space="preserve">    diem and travel)</t>
  </si>
  <si>
    <t>operating d/yr</t>
  </si>
  <si>
    <t>operating wk/yr</t>
  </si>
  <si>
    <t>operating mo/yr</t>
  </si>
  <si>
    <t>compliance reports/yr</t>
  </si>
  <si>
    <t>FF1P</t>
  </si>
  <si>
    <t>FF1CC</t>
  </si>
  <si>
    <t>FF1PS</t>
  </si>
  <si>
    <t>FF1QA</t>
  </si>
  <si>
    <t>FF1E</t>
  </si>
  <si>
    <t>FF1SF</t>
  </si>
  <si>
    <t>FFOP1</t>
  </si>
  <si>
    <t>FF2P</t>
  </si>
  <si>
    <t>FF2CC</t>
  </si>
  <si>
    <t>FF2PS</t>
  </si>
  <si>
    <t>FF2QA</t>
  </si>
  <si>
    <t>FF2E</t>
  </si>
  <si>
    <t>FF2SF</t>
  </si>
  <si>
    <t>FFOP2</t>
  </si>
  <si>
    <t>FF3P</t>
  </si>
  <si>
    <t>FF3CC</t>
  </si>
  <si>
    <t>FF3PS</t>
  </si>
  <si>
    <t>FF3QA</t>
  </si>
  <si>
    <t>FF3E</t>
  </si>
  <si>
    <t>FF3SF</t>
  </si>
  <si>
    <t>FFOP3</t>
  </si>
  <si>
    <t>FF4P</t>
  </si>
  <si>
    <t>FF4CC</t>
  </si>
  <si>
    <t>FF4PS</t>
  </si>
  <si>
    <t>FF4QA</t>
  </si>
  <si>
    <t>FF4E</t>
  </si>
  <si>
    <t>FF4SF</t>
  </si>
  <si>
    <t>FFOP4</t>
  </si>
  <si>
    <t>FF5P</t>
  </si>
  <si>
    <t>FF5CC</t>
  </si>
  <si>
    <t>FF5PS</t>
  </si>
  <si>
    <t>FF5QA</t>
  </si>
  <si>
    <t>FF5E</t>
  </si>
  <si>
    <t>FF5SF</t>
  </si>
  <si>
    <t>FFOP5</t>
  </si>
  <si>
    <t>FF6P</t>
  </si>
  <si>
    <t>FF6CC</t>
  </si>
  <si>
    <t>FF6PS</t>
  </si>
  <si>
    <t>FF6QA</t>
  </si>
  <si>
    <t>FF6E</t>
  </si>
  <si>
    <t>FF6SF</t>
  </si>
  <si>
    <t>FFOP6</t>
  </si>
  <si>
    <t>FF7P</t>
  </si>
  <si>
    <t>FF7CC</t>
  </si>
  <si>
    <t>FF7PS</t>
  </si>
  <si>
    <t>FF7QA</t>
  </si>
  <si>
    <t>FF7E</t>
  </si>
  <si>
    <t>FF7SF</t>
  </si>
  <si>
    <t>FFOP7</t>
  </si>
  <si>
    <t>FF8P</t>
  </si>
  <si>
    <t>FF8CC</t>
  </si>
  <si>
    <t>FF8PS</t>
  </si>
  <si>
    <t>FF8QA</t>
  </si>
  <si>
    <t>FF8E</t>
  </si>
  <si>
    <t>FF8SF</t>
  </si>
  <si>
    <t>FFOP8</t>
  </si>
  <si>
    <t>FF9P</t>
  </si>
  <si>
    <t>FF9CC</t>
  </si>
  <si>
    <t>FF9PS</t>
  </si>
  <si>
    <t>FF9QA</t>
  </si>
  <si>
    <t>FF9E</t>
  </si>
  <si>
    <t>FFOP9</t>
  </si>
  <si>
    <t>FF10P</t>
  </si>
  <si>
    <t>FF10CC</t>
  </si>
  <si>
    <t>FF10PS</t>
  </si>
  <si>
    <t>FF10QA</t>
  </si>
  <si>
    <t>FF10E</t>
  </si>
  <si>
    <t>FF10SF</t>
  </si>
  <si>
    <t>FFOP10</t>
  </si>
  <si>
    <t>FF11P</t>
  </si>
  <si>
    <t>FF11CC</t>
  </si>
  <si>
    <t>FF11PS</t>
  </si>
  <si>
    <t>FF11QA</t>
  </si>
  <si>
    <t>FF11E</t>
  </si>
  <si>
    <t>FF11SF</t>
  </si>
  <si>
    <t>FFOP11</t>
  </si>
  <si>
    <t>FF12P</t>
  </si>
  <si>
    <t>FF12CC</t>
  </si>
  <si>
    <t>FF12PS</t>
  </si>
  <si>
    <t>FF12QA</t>
  </si>
  <si>
    <t>FF12E</t>
  </si>
  <si>
    <t>FFOP12</t>
  </si>
  <si>
    <t>FF13P</t>
  </si>
  <si>
    <t>FF13CC</t>
  </si>
  <si>
    <t>FF13PS</t>
  </si>
  <si>
    <t>FF13QA</t>
  </si>
  <si>
    <t>FF13E</t>
  </si>
  <si>
    <t>FFOP13</t>
  </si>
  <si>
    <t>FF14CC</t>
  </si>
  <si>
    <t>FF14PS</t>
  </si>
  <si>
    <t>FF14QA</t>
  </si>
  <si>
    <t>FF14E</t>
  </si>
  <si>
    <t>FF14SF</t>
  </si>
  <si>
    <t>FFOP14</t>
  </si>
  <si>
    <t>FF15CC</t>
  </si>
  <si>
    <t>FF15PS</t>
  </si>
  <si>
    <t>FF15QA</t>
  </si>
  <si>
    <t>FF15E</t>
  </si>
  <si>
    <t>FF15SF</t>
  </si>
  <si>
    <t>FFOP15</t>
  </si>
  <si>
    <t>FF16CC</t>
  </si>
  <si>
    <t>FF16PS</t>
  </si>
  <si>
    <t>FF16E</t>
  </si>
  <si>
    <t>FF16SF</t>
  </si>
  <si>
    <t>FFOP16</t>
  </si>
  <si>
    <t>FF17CC</t>
  </si>
  <si>
    <t>FF17PS</t>
  </si>
  <si>
    <t>FF17E</t>
  </si>
  <si>
    <t>FF17SF</t>
  </si>
  <si>
    <t>FFOP17</t>
  </si>
  <si>
    <t>FF18CC</t>
  </si>
  <si>
    <t>FF18PS</t>
  </si>
  <si>
    <t>FF18E</t>
  </si>
  <si>
    <t>FFOP18</t>
  </si>
  <si>
    <t>FF19CC</t>
  </si>
  <si>
    <t>FF19PS</t>
  </si>
  <si>
    <t>FF19E</t>
  </si>
  <si>
    <t>FFOP19</t>
  </si>
  <si>
    <t>FF20CC</t>
  </si>
  <si>
    <t>FF20PS</t>
  </si>
  <si>
    <t>FF20E</t>
  </si>
  <si>
    <t>FFOP20</t>
  </si>
  <si>
    <t>FF21CC</t>
  </si>
  <si>
    <t>FF21PS</t>
  </si>
  <si>
    <t>FF21E</t>
  </si>
  <si>
    <t>FF-2BL</t>
  </si>
  <si>
    <t>FFOP21</t>
  </si>
  <si>
    <t>FF22CC</t>
  </si>
  <si>
    <t>FF22PS</t>
  </si>
  <si>
    <t>FF22E</t>
  </si>
  <si>
    <t>FF-1BL</t>
  </si>
  <si>
    <t>FFOP22</t>
  </si>
  <si>
    <t>FF24CC</t>
  </si>
  <si>
    <t>FF23PS</t>
  </si>
  <si>
    <t>FF23E</t>
  </si>
  <si>
    <t>FF0BL</t>
  </si>
  <si>
    <t>FFOP23</t>
  </si>
  <si>
    <t>FF25CC</t>
  </si>
  <si>
    <t>FFEP1</t>
  </si>
  <si>
    <t>FF1BL</t>
  </si>
  <si>
    <t>FFOP24</t>
  </si>
  <si>
    <t>Y19</t>
  </si>
  <si>
    <t>FF40E</t>
  </si>
  <si>
    <t>FF2BL</t>
  </si>
  <si>
    <t>FFOP25</t>
  </si>
  <si>
    <t>Y18</t>
  </si>
  <si>
    <t>Z18</t>
  </si>
  <si>
    <t>FF41E</t>
  </si>
  <si>
    <t>FF3BL</t>
  </si>
  <si>
    <t>FFOP26</t>
  </si>
  <si>
    <t>Y17</t>
  </si>
  <si>
    <t>Z17</t>
  </si>
  <si>
    <t>FF4BL</t>
  </si>
  <si>
    <t>FFOP27</t>
  </si>
  <si>
    <t>Y16</t>
  </si>
  <si>
    <t>Z16</t>
  </si>
  <si>
    <t>Z16a</t>
  </si>
  <si>
    <t>Z16b</t>
  </si>
  <si>
    <t>FF50E</t>
  </si>
  <si>
    <t>FF5BL</t>
  </si>
  <si>
    <t>FFOP28</t>
  </si>
  <si>
    <t>Y15</t>
  </si>
  <si>
    <t>Z15</t>
  </si>
  <si>
    <t>FF51E</t>
  </si>
  <si>
    <t>FF6BL</t>
  </si>
  <si>
    <t>FFOP29</t>
  </si>
  <si>
    <t>Y7a  (all monitors)</t>
  </si>
  <si>
    <t>Z7a</t>
  </si>
  <si>
    <t>FF7BL</t>
  </si>
  <si>
    <t>FFOP30</t>
  </si>
  <si>
    <t>Y7b (monitors and BLD)</t>
  </si>
  <si>
    <t>Z7b</t>
  </si>
  <si>
    <t>FF60E</t>
  </si>
  <si>
    <t>FF8BL</t>
  </si>
  <si>
    <t>FFOP31</t>
  </si>
  <si>
    <t>Y19 (gas analyzers and PM)</t>
  </si>
  <si>
    <t>Z19</t>
  </si>
  <si>
    <t>For FAT:</t>
  </si>
  <si>
    <t>FF70E</t>
  </si>
  <si>
    <t>FF9BL</t>
  </si>
  <si>
    <t>FFOP32</t>
  </si>
  <si>
    <t>Y22 opacity and flow</t>
  </si>
  <si>
    <t>Z22</t>
  </si>
  <si>
    <t>FF80E</t>
  </si>
  <si>
    <t>FF10BL</t>
  </si>
  <si>
    <t>FFOP33</t>
  </si>
  <si>
    <t>Y21 gas &amp; PM extractives</t>
  </si>
  <si>
    <t>Z21</t>
  </si>
  <si>
    <t>FF81E</t>
  </si>
  <si>
    <t>FF11BL</t>
  </si>
  <si>
    <t>FFOP34</t>
  </si>
  <si>
    <t>Y21a</t>
  </si>
  <si>
    <t>Z21a</t>
  </si>
  <si>
    <t>FF12BL</t>
  </si>
  <si>
    <t>FFOP35</t>
  </si>
  <si>
    <t>Y20</t>
  </si>
  <si>
    <t>Z20</t>
  </si>
  <si>
    <t>FF90E</t>
  </si>
  <si>
    <t>FF13BL</t>
  </si>
  <si>
    <t>FFOP36</t>
  </si>
  <si>
    <t>Y31 gas after control and PM</t>
  </si>
  <si>
    <t>FF91E</t>
  </si>
  <si>
    <t>FF14BL</t>
  </si>
  <si>
    <t>FFOP37</t>
  </si>
  <si>
    <t>FF15BL</t>
  </si>
  <si>
    <t>FFOP38</t>
  </si>
  <si>
    <t>Q8</t>
  </si>
  <si>
    <t>Z100</t>
  </si>
  <si>
    <t>FF100E</t>
  </si>
  <si>
    <t>FF16BL</t>
  </si>
  <si>
    <t>FFOP39</t>
  </si>
  <si>
    <t>Q9</t>
  </si>
  <si>
    <t>Z101</t>
  </si>
  <si>
    <t>FF17BL</t>
  </si>
  <si>
    <t>FFOP40</t>
  </si>
  <si>
    <t>Q10</t>
  </si>
  <si>
    <t>FFOP41</t>
  </si>
  <si>
    <t>Q11</t>
  </si>
  <si>
    <t>FFOP42</t>
  </si>
  <si>
    <t>Q15</t>
  </si>
  <si>
    <t>Z115</t>
  </si>
  <si>
    <t>FFOP43</t>
  </si>
  <si>
    <t>Q12</t>
  </si>
  <si>
    <t>FFOP44</t>
  </si>
  <si>
    <t>Q16</t>
  </si>
  <si>
    <t>FFOP45</t>
  </si>
  <si>
    <t>Q18</t>
  </si>
  <si>
    <t>FFOP46</t>
  </si>
  <si>
    <t>FFOP47</t>
  </si>
  <si>
    <t>F24</t>
  </si>
  <si>
    <t>F25</t>
  </si>
  <si>
    <t>FFOP48</t>
  </si>
  <si>
    <t>F25 after w/o Hg</t>
  </si>
  <si>
    <t>Y25</t>
  </si>
  <si>
    <t>Z25</t>
  </si>
  <si>
    <t>Z25a</t>
  </si>
  <si>
    <t>FFOP49</t>
  </si>
  <si>
    <t>F24 before w/o Hg</t>
  </si>
  <si>
    <t>Z24</t>
  </si>
  <si>
    <t>FFOP50</t>
  </si>
  <si>
    <t>FFOP51</t>
  </si>
  <si>
    <t>Q7</t>
  </si>
  <si>
    <t>Z33</t>
  </si>
  <si>
    <t>Z34</t>
  </si>
  <si>
    <t>FFOP52</t>
  </si>
  <si>
    <t>Q13</t>
  </si>
  <si>
    <t>Z13</t>
  </si>
  <si>
    <t>FFOP53</t>
  </si>
  <si>
    <t>Q6a (beta)</t>
  </si>
  <si>
    <t>Z54</t>
  </si>
  <si>
    <t>FFOP54</t>
  </si>
  <si>
    <t>Q6b (ls, insitu)</t>
  </si>
  <si>
    <t>FFOP55</t>
  </si>
  <si>
    <t>Q6c (ls, ext)</t>
  </si>
  <si>
    <t>Z40</t>
  </si>
  <si>
    <t>Z56</t>
  </si>
  <si>
    <t>FFOP56</t>
  </si>
  <si>
    <t>FFOP7A</t>
  </si>
  <si>
    <t>Q6 (all PM)</t>
  </si>
  <si>
    <t>Z41</t>
  </si>
  <si>
    <t>FFOP58</t>
  </si>
  <si>
    <t>QTOT</t>
  </si>
  <si>
    <t>Qopacity plus Qflow plus Qpmext</t>
  </si>
  <si>
    <t>FFOP59</t>
  </si>
  <si>
    <t>Qopacity plus Qflow</t>
  </si>
  <si>
    <t>FFOP61</t>
  </si>
  <si>
    <t>NUMBER OF LINES BEFORE CONTROL</t>
  </si>
  <si>
    <t>FFOP62</t>
  </si>
  <si>
    <t>BLD</t>
  </si>
  <si>
    <t>complex</t>
  </si>
  <si>
    <t>simple</t>
  </si>
  <si>
    <t>Y65 (PM and opacity)</t>
  </si>
  <si>
    <t>Y66 (gas, monitors, BLD)</t>
  </si>
  <si>
    <t>Y67 (gas, PM, opacity)</t>
  </si>
  <si>
    <t>Y68 (gas/PM/op, no diluent)</t>
  </si>
  <si>
    <t>Y69 (gas/PM, no diluent)</t>
  </si>
  <si>
    <t>Y70 (everything but flow/BLD)</t>
  </si>
  <si>
    <t>&lt;- always same as K67?  I have only used K67 so far</t>
  </si>
  <si>
    <t>Y71 (everything but BLD)</t>
  </si>
  <si>
    <t>Y72 (only BLD)</t>
  </si>
  <si>
    <t>Y73 (FF systems)</t>
  </si>
  <si>
    <t>Y74 (non-Hg analyzers)</t>
  </si>
  <si>
    <t>Y75 (gas/Hg and PM ext.)</t>
  </si>
  <si>
    <t>Y76 (gas after control, no dil)</t>
  </si>
  <si>
    <t>Labor</t>
  </si>
  <si>
    <t>Test</t>
  </si>
  <si>
    <t>ODC</t>
  </si>
  <si>
    <t>Planning</t>
  </si>
  <si>
    <t xml:space="preserve">    Review regulations</t>
  </si>
  <si>
    <t xml:space="preserve">    Resolve questions</t>
  </si>
  <si>
    <t xml:space="preserve">    Review drawing</t>
  </si>
  <si>
    <t xml:space="preserve">    Inspect source</t>
  </si>
  <si>
    <t xml:space="preserve">    Define constraints</t>
  </si>
  <si>
    <t xml:space="preserve">    Write engineering report</t>
  </si>
  <si>
    <t xml:space="preserve">           Subtotal</t>
  </si>
  <si>
    <t>Select Equipment</t>
  </si>
  <si>
    <t xml:space="preserve">    Decide on approach</t>
  </si>
  <si>
    <t xml:space="preserve">    Write specifications</t>
  </si>
  <si>
    <t xml:space="preserve">    Identify potential bidders</t>
  </si>
  <si>
    <t xml:space="preserve">    Write RFP's</t>
  </si>
  <si>
    <t xml:space="preserve">    Copy and mail RFP's</t>
  </si>
  <si>
    <t xml:space="preserve">    Respond to bidders</t>
  </si>
  <si>
    <t xml:space="preserve">    Review and evaluate proposals</t>
  </si>
  <si>
    <t xml:space="preserve">    Select winner(s) and negotiate contract(s)</t>
  </si>
  <si>
    <t xml:space="preserve">    Management</t>
  </si>
  <si>
    <t>Support Facilities</t>
  </si>
  <si>
    <t xml:space="preserve">    Sampling ports</t>
  </si>
  <si>
    <t xml:space="preserve">    Utilities</t>
  </si>
  <si>
    <t xml:space="preserve">    Platforms and ladders</t>
  </si>
  <si>
    <t xml:space="preserve">    Instrument room/shelter</t>
  </si>
  <si>
    <t xml:space="preserve">            Subtotal</t>
  </si>
  <si>
    <t>Purchase equipment</t>
  </si>
  <si>
    <t xml:space="preserve">    Opacity monitor</t>
  </si>
  <si>
    <t xml:space="preserve">    PM Monitor</t>
  </si>
  <si>
    <t xml:space="preserve">    non-Hg GAS CEM analyzer(s)</t>
  </si>
  <si>
    <t xml:space="preserve">    Sampling system(s)</t>
  </si>
  <si>
    <t xml:space="preserve">    PLC</t>
  </si>
  <si>
    <t xml:space="preserve">    DAS, including software</t>
  </si>
  <si>
    <t xml:space="preserve">    Flow monitors</t>
  </si>
  <si>
    <t xml:space="preserve">    Hg CEMS equipment (analyzer, sampling </t>
  </si>
  <si>
    <t xml:space="preserve">         line, data acquisition, software, etc)</t>
  </si>
  <si>
    <t xml:space="preserve">    Bag leak detection system</t>
  </si>
  <si>
    <t xml:space="preserve">    Taxes and shipping</t>
  </si>
  <si>
    <t>Install</t>
  </si>
  <si>
    <t xml:space="preserve">    Install equipment</t>
  </si>
  <si>
    <t xml:space="preserve">    Startup equipment</t>
  </si>
  <si>
    <t xml:space="preserve">    Training</t>
  </si>
  <si>
    <t>Performance test</t>
  </si>
  <si>
    <t xml:space="preserve">    Select test contractor</t>
  </si>
  <si>
    <t xml:space="preserve">    Pretest meeting</t>
  </si>
  <si>
    <t xml:space="preserve">    Drift tests</t>
  </si>
  <si>
    <t xml:space="preserve">    Analyzer RATA or PM ICT</t>
  </si>
  <si>
    <t xml:space="preserve">    Write PST test report</t>
  </si>
  <si>
    <t xml:space="preserve">    Review report</t>
  </si>
  <si>
    <t xml:space="preserve">    </t>
  </si>
  <si>
    <t>QA/QC plan (O&amp;M plan for BLD)</t>
  </si>
  <si>
    <t xml:space="preserve">    Review needs</t>
  </si>
  <si>
    <t xml:space="preserve">    Hire consultant</t>
  </si>
  <si>
    <t xml:space="preserve">    On-site meeting</t>
  </si>
  <si>
    <t xml:space="preserve">    Write draft plan</t>
  </si>
  <si>
    <t xml:space="preserve">    Review draft plan</t>
  </si>
  <si>
    <t xml:space="preserve">    Write final plan</t>
  </si>
  <si>
    <t xml:space="preserve">    Get Agency approval</t>
  </si>
  <si>
    <t xml:space="preserve">    Kick-off meeting</t>
  </si>
  <si>
    <t>Total first costs</t>
  </si>
  <si>
    <t>Grand total first costs</t>
  </si>
  <si>
    <t>Operation, Maintenance, and Repairs</t>
  </si>
  <si>
    <t xml:space="preserve">    Daily checks of COMS/PM/BLD</t>
  </si>
  <si>
    <t xml:space="preserve">    Daily checks of CEMS</t>
  </si>
  <si>
    <t xml:space="preserve">    Weekly checks of Beta PM monitors</t>
  </si>
  <si>
    <t xml:space="preserve">    Weekly check of CEMS</t>
  </si>
  <si>
    <t xml:space="preserve">    Monthly check of Beta PM/BLD</t>
  </si>
  <si>
    <t xml:space="preserve">    Monthly check of CEMS</t>
  </si>
  <si>
    <t xml:space="preserve">    Quarterly check of monitors</t>
  </si>
  <si>
    <t xml:space="preserve">    Consumables</t>
  </si>
  <si>
    <t>Annual RATA for gas analyzers</t>
  </si>
  <si>
    <t xml:space="preserve">    Pretest preparation</t>
  </si>
  <si>
    <t xml:space="preserve">    Hire testing team</t>
  </si>
  <si>
    <t xml:space="preserve">    Notify Agency</t>
  </si>
  <si>
    <t xml:space="preserve">    Do RATA</t>
  </si>
  <si>
    <t xml:space="preserve">    Take corrective action</t>
  </si>
  <si>
    <t xml:space="preserve">    Retest</t>
  </si>
  <si>
    <t xml:space="preserve">    Write report</t>
  </si>
  <si>
    <t xml:space="preserve">    Certify report and send</t>
  </si>
  <si>
    <t>PM Monitor RCA (every 3 years)</t>
  </si>
  <si>
    <t xml:space="preserve">    Notify agency</t>
  </si>
  <si>
    <t xml:space="preserve">    Conduct RCA</t>
  </si>
  <si>
    <t xml:space="preserve">    Recalibration calculations</t>
  </si>
  <si>
    <t xml:space="preserve">    Write test report</t>
  </si>
  <si>
    <t xml:space="preserve">    Certify and send report to agency</t>
  </si>
  <si>
    <t>PM Monitor RRA (annually)</t>
  </si>
  <si>
    <t xml:space="preserve">    Conduct RRA</t>
  </si>
  <si>
    <t>Cylinder Gas Audits (ACA/SVA for PM)</t>
  </si>
  <si>
    <t xml:space="preserve">    Do CGA's and/or ACA/SVA</t>
  </si>
  <si>
    <t xml:space="preserve">    Write, certify, and send report</t>
  </si>
  <si>
    <t>Recordkeeping and reporting</t>
  </si>
  <si>
    <t xml:space="preserve">    Daily data reduction</t>
  </si>
  <si>
    <t xml:space="preserve">    Monthly reduction and review</t>
  </si>
  <si>
    <t xml:space="preserve">    Quarterly (semiannual) emissions report</t>
  </si>
  <si>
    <t>Annual QA &amp; O&amp;M review and update</t>
  </si>
  <si>
    <t xml:space="preserve">    Meeting with plant technicians</t>
  </si>
  <si>
    <t xml:space="preserve">    Update QA plan (O&amp;M plan)</t>
  </si>
  <si>
    <t xml:space="preserve">    Update equipment inventory and repairs</t>
  </si>
  <si>
    <t xml:space="preserve">    Phone support</t>
  </si>
  <si>
    <t>Capital recovery (10 years; 7% interest rate)</t>
  </si>
  <si>
    <t>Annual costs</t>
  </si>
  <si>
    <t>Total annual costs</t>
  </si>
  <si>
    <t>Summary table</t>
  </si>
  <si>
    <t>First Costs</t>
  </si>
  <si>
    <t>ODCs</t>
  </si>
  <si>
    <t>Total</t>
  </si>
  <si>
    <t xml:space="preserve">    Planning</t>
  </si>
  <si>
    <t xml:space="preserve">    Select Equipment</t>
  </si>
  <si>
    <t xml:space="preserve">    Support Facilities</t>
  </si>
  <si>
    <t xml:space="preserve">    Purchase CEMS Hardware</t>
  </si>
  <si>
    <t xml:space="preserve">    Install and Check CEMS</t>
  </si>
  <si>
    <t xml:space="preserve">    Performance Specification Tests</t>
  </si>
  <si>
    <t xml:space="preserve">    QA/QC Plan</t>
  </si>
  <si>
    <t>Annual Costs</t>
  </si>
  <si>
    <t xml:space="preserve">    Day-to-Day Activities</t>
  </si>
  <si>
    <t xml:space="preserve">    Annual RATA</t>
  </si>
  <si>
    <t xml:space="preserve">    PM Monitor RCA</t>
  </si>
  <si>
    <t xml:space="preserve">    PM Monitor RRA</t>
  </si>
  <si>
    <t xml:space="preserve">    Cylinder Gas Audits (ACA/SVA for PM)</t>
  </si>
  <si>
    <t xml:space="preserve">    Recordkeeping and Reporting</t>
  </si>
  <si>
    <t xml:space="preserve">    Annual QA &amp; O&amp;M Review and Update</t>
  </si>
  <si>
    <t xml:space="preserve">    Capital Recovery</t>
  </si>
  <si>
    <t xml:space="preserve">    Total w/o capital recovery</t>
  </si>
  <si>
    <t xml:space="preserve">    Total with capital recovery</t>
  </si>
  <si>
    <r>
      <t>Estimated base-case labor effort for existing sources</t>
    </r>
    <r>
      <rPr>
        <vertAlign val="superscript"/>
        <sz val="10"/>
        <rFont val="Arial"/>
        <family val="2"/>
      </rPr>
      <t>a</t>
    </r>
  </si>
  <si>
    <t>CEE</t>
  </si>
  <si>
    <t xml:space="preserve">   Plant technician</t>
  </si>
  <si>
    <t xml:space="preserve"> Consultant</t>
  </si>
  <si>
    <t>Description of activities</t>
  </si>
  <si>
    <t>gas</t>
  </si>
  <si>
    <t>PM</t>
  </si>
  <si>
    <r>
      <t>BLD</t>
    </r>
    <r>
      <rPr>
        <vertAlign val="superscript"/>
        <sz val="10"/>
        <rFont val="Arial"/>
        <family val="2"/>
      </rPr>
      <t>b</t>
    </r>
  </si>
  <si>
    <t>I.  Planning</t>
  </si>
  <si>
    <t>A.  Review regulations</t>
  </si>
  <si>
    <t>The CEE will determine the applicability of the regulation to the source, review monitoring and reporting requirements stipulated in the regulation, and determine what continuous emission monitoring is needed.</t>
  </si>
  <si>
    <t>B.  Resolve questions</t>
  </si>
  <si>
    <t>The CEE begins to deal with the practical application of continuous emission monitoring to the source.  Additional discussions with other plant personnel and possibly with the applicable regulatory agency regarding requirements and options are conducted.  If the CEE is not located onsite, travel to the site (also related to inspecting the source, noted below) is usually also included.</t>
  </si>
  <si>
    <t>C.  Review drawings</t>
  </si>
  <si>
    <r>
      <t>The CEE will determine what monitoring locations are available and if those locations meet the monitoring location specifications.  Access to possible monitoring locations is also evaluated at this time.</t>
    </r>
    <r>
      <rPr>
        <vertAlign val="superscript"/>
        <sz val="10"/>
        <rFont val="Arial"/>
        <family val="2"/>
      </rPr>
      <t>c</t>
    </r>
  </si>
  <si>
    <t>&gt;5</t>
  </si>
  <si>
    <t>D.  Inspect source</t>
  </si>
  <si>
    <r>
      <t>The CEE and/or a plant technician physically inspect an existing source to verify information from the drawings, determine where sampling lines could run, and identify other issues.</t>
    </r>
    <r>
      <rPr>
        <vertAlign val="superscript"/>
        <sz val="10"/>
        <rFont val="Arial"/>
        <family val="2"/>
      </rPr>
      <t>c</t>
    </r>
  </si>
  <si>
    <t>&gt;4</t>
  </si>
  <si>
    <t>&gt;3</t>
  </si>
  <si>
    <t>E.  Define specific constraints</t>
  </si>
  <si>
    <t>The CEE will define exhaust gas characteristics that will affect the CEMS (e.g., temperature, moisture, velocity, dirtiness), define stack power requirements, and determine if additional electrical power is needed, determine exact sample port locations, and define any other specific constraints that will affect the monitoring program (e.g., safety designation).</t>
  </si>
  <si>
    <t>F.  Write engineering report</t>
  </si>
  <si>
    <t>The CEE will document findings from the above activities for management and to provide a record trail of the decisions made.</t>
  </si>
  <si>
    <t>II.  Select Equipment</t>
  </si>
  <si>
    <t>A.  Decide on approach</t>
  </si>
  <si>
    <t>The CEE will decide which type of monitor or monitoring system will best meet the goals of the monitoring program.  The CEE will need to research and evaluate the advantages and disadvantages of different options and how those advantages and disadvantages apply to the specific source.</t>
  </si>
  <si>
    <t>B.  Write specification</t>
  </si>
  <si>
    <t>The CEE will write the specification for the CEMS, and a plant technician will review it.  The equipment specification will likely consist of the CEMS technical specifications and sketches and photographs of the monitoring location(s).</t>
  </si>
  <si>
    <t>C.  Identify potential bidders</t>
  </si>
  <si>
    <t>The CEE will investigate, perhaps using the internet, to identify vendors and develop a bidders list.</t>
  </si>
  <si>
    <t>D.  Write RFPs and guarantees</t>
  </si>
  <si>
    <t>The CEE will draft instructions to bidders, bid terms and conditions, payment terms, pricing instructions, warranty, and milestones the vendor is expected to meet.</t>
  </si>
  <si>
    <t>E.  Copy and mail RFPs</t>
  </si>
  <si>
    <t>The CEE will prepare transmittal letters and have the RFP packages prepared for mailing (either by regular mail or e-mail).</t>
  </si>
  <si>
    <t>F.  Respond to bidder's questions</t>
  </si>
  <si>
    <t>The CEE will receive and answer several questions from each of the bidders.</t>
  </si>
  <si>
    <t>G.  Review and evaluate proposals</t>
  </si>
  <si>
    <t>The CEE will review the vendor's proposals to detemine which best meets the intent of the bid specification and which vendor will likely provide the best and most cost-effective CEMS.  Issues for negotiation will also be identified.</t>
  </si>
  <si>
    <t>As a default option, the CEE and 2 plant technicians would hold best and final meetings with two vendors</t>
  </si>
  <si>
    <t>H.  Select winner and negotiate contract</t>
  </si>
  <si>
    <t>Based on evaluation of the proposal and best and final meetings, the CEE will select the winner.  The CEE will also call the winner (and the other bidders).  The CEE may also need to finalize various contractual issues such as payment schedules and cancellation charges.</t>
  </si>
  <si>
    <t>I.  Management during manufacture and installation</t>
  </si>
  <si>
    <t>As the CEMS is being constructed, the CEE and a plant technician would review and approve vendor drawings, contact the vendor during system development, and provide oversight of installation of support facilities and the CEMS.</t>
  </si>
  <si>
    <t>For CEMS consisting of gas analyzers and/or extractive PM monitors, a default option is for the CEE and plant technician to conduct a factory acceptance test at the vendor's facility.</t>
  </si>
  <si>
    <t>V.  Installation (existing source)</t>
  </si>
  <si>
    <t>A.  Install equipment</t>
  </si>
  <si>
    <r>
      <t>150</t>
    </r>
    <r>
      <rPr>
        <vertAlign val="superscript"/>
        <sz val="10"/>
        <rFont val="Arial"/>
        <family val="2"/>
      </rPr>
      <t>e</t>
    </r>
  </si>
  <si>
    <r>
      <t>1</t>
    </r>
    <r>
      <rPr>
        <vertAlign val="superscript"/>
        <sz val="10"/>
        <rFont val="Arial"/>
        <family val="2"/>
      </rPr>
      <t>f</t>
    </r>
  </si>
  <si>
    <t>B.  Startup equipment</t>
  </si>
  <si>
    <r>
      <t>0.4</t>
    </r>
    <r>
      <rPr>
        <vertAlign val="superscript"/>
        <sz val="10"/>
        <rFont val="Arial"/>
        <family val="2"/>
      </rPr>
      <t>g</t>
    </r>
  </si>
  <si>
    <t>C.  Training</t>
  </si>
  <si>
    <r>
      <t>96</t>
    </r>
    <r>
      <rPr>
        <vertAlign val="superscript"/>
        <sz val="10"/>
        <rFont val="Arial"/>
        <family val="2"/>
      </rPr>
      <t>h</t>
    </r>
  </si>
  <si>
    <r>
      <t>64</t>
    </r>
    <r>
      <rPr>
        <vertAlign val="superscript"/>
        <sz val="10"/>
        <rFont val="Arial"/>
        <family val="2"/>
      </rPr>
      <t>i</t>
    </r>
  </si>
  <si>
    <t>VII.  QA/QC plan (O&amp;M plan for BLD)</t>
  </si>
  <si>
    <t>A.  Review needs</t>
  </si>
  <si>
    <t>B.  Hire consultant</t>
  </si>
  <si>
    <t>C.  On-site meeting</t>
  </si>
  <si>
    <t>D.  Write draft plan</t>
  </si>
  <si>
    <t>E.  Review draft plan</t>
  </si>
  <si>
    <t>d</t>
  </si>
  <si>
    <t>F.  Write final plan</t>
  </si>
  <si>
    <t>G.  Get Agency approval</t>
  </si>
  <si>
    <t>H.  Kick-off meeting</t>
  </si>
  <si>
    <t>VIII.  Operation, maintenance, and repairs</t>
  </si>
  <si>
    <t>A.  Daily checks of COMS/PM/BLD, hr/d</t>
  </si>
  <si>
    <r>
      <t>B.  Daily checks of CEMS, hr/d</t>
    </r>
    <r>
      <rPr>
        <vertAlign val="superscript"/>
        <sz val="10"/>
        <rFont val="Arial"/>
        <family val="2"/>
      </rPr>
      <t>j</t>
    </r>
  </si>
  <si>
    <t>C.  Weekly checks of Beta PM monitors, hr/wk</t>
  </si>
  <si>
    <r>
      <t>D.  Weekly check of CEMS, hr/wk</t>
    </r>
    <r>
      <rPr>
        <vertAlign val="superscript"/>
        <sz val="10"/>
        <rFont val="Arial"/>
        <family val="2"/>
      </rPr>
      <t>k</t>
    </r>
  </si>
  <si>
    <r>
      <t>E.  Monthly check of Beta PM/BLD, hr/month</t>
    </r>
    <r>
      <rPr>
        <vertAlign val="superscript"/>
        <sz val="10"/>
        <rFont val="Arial"/>
        <family val="2"/>
      </rPr>
      <t>l</t>
    </r>
  </si>
  <si>
    <r>
      <t>F.  Monthly check of CEMS, hr/month</t>
    </r>
    <r>
      <rPr>
        <vertAlign val="superscript"/>
        <sz val="10"/>
        <rFont val="Arial"/>
        <family val="2"/>
      </rPr>
      <t>m</t>
    </r>
  </si>
  <si>
    <t>G.  Quarterly check of monitors, hr/quarter</t>
  </si>
  <si>
    <t>H.  Consumables</t>
  </si>
  <si>
    <t>XIII.  Recordkeeping and Reporting</t>
  </si>
  <si>
    <t>A.  Daily data reduction, hr/d</t>
  </si>
  <si>
    <r>
      <t>B.  Monthly reduction and review, hr/month</t>
    </r>
    <r>
      <rPr>
        <vertAlign val="superscript"/>
        <sz val="10"/>
        <rFont val="Arial"/>
        <family val="2"/>
      </rPr>
      <t>n</t>
    </r>
  </si>
  <si>
    <t>C.  Quarterly emissions report, hr/quarter</t>
  </si>
  <si>
    <t>C.  Semiannual emissions report, hr/six-months</t>
  </si>
  <si>
    <t>XIV.  Annual QA &amp; O&amp;M review and update</t>
  </si>
  <si>
    <t>A.  Meeting with plant technicians</t>
  </si>
  <si>
    <t>B.  Update QA plan (O&amp;M plan)</t>
  </si>
  <si>
    <t>C.  Update equipment inventory and repairs</t>
  </si>
  <si>
    <t>D.  Telephone support</t>
  </si>
  <si>
    <r>
      <t>a</t>
    </r>
    <r>
      <rPr>
        <sz val="10"/>
        <rFont val="Arial"/>
        <family val="2"/>
      </rPr>
      <t>Base cases for the purposes of this summary are CEMS that consist of either 4 gas analyzers, 1 PM monitor, or a bag leak detection system (except for some annual activities, where the level of effort for a bag leak detection system is per sensor).  Travel time is not included in these labor hours.  Fractions of an hour (other than 0.05, 0.25, and 0.5) result when the actual baseline scenario used in the model consists of gas analyzers and a PM monitor.</t>
    </r>
  </si>
  <si>
    <r>
      <t>b</t>
    </r>
    <r>
      <rPr>
        <sz val="11"/>
        <color theme="1"/>
        <rFont val="Calibri"/>
        <family val="2"/>
        <scheme val="minor"/>
      </rPr>
      <t>A simple BLD system has only one sensor.  A complex BLD system has multiple sensors.</t>
    </r>
  </si>
  <si>
    <r>
      <t>c</t>
    </r>
    <r>
      <rPr>
        <sz val="11"/>
        <color theme="1"/>
        <rFont val="Calibri"/>
        <family val="2"/>
        <scheme val="minor"/>
      </rPr>
      <t>For a complex BLD system, each additional sensor after the first adds 15 minutes.</t>
    </r>
  </si>
  <si>
    <r>
      <t>d</t>
    </r>
    <r>
      <rPr>
        <sz val="11"/>
        <color theme="1"/>
        <rFont val="Calibri"/>
        <family val="2"/>
        <scheme val="minor"/>
      </rPr>
      <t>Assume cost of management and plant technician review equals 20 percent of the cost for the CEE to prepare the draft plan.</t>
    </r>
  </si>
  <si>
    <r>
      <t>e</t>
    </r>
    <r>
      <rPr>
        <sz val="10"/>
        <rFont val="Arial"/>
        <family val="2"/>
      </rPr>
      <t>Add 180 hr for a Hg analyzer.</t>
    </r>
  </si>
  <si>
    <r>
      <t>f</t>
    </r>
    <r>
      <rPr>
        <sz val="10"/>
        <rFont val="Arial"/>
        <family val="2"/>
      </rPr>
      <t>Add 1 hr for each additional sensor.</t>
    </r>
  </si>
  <si>
    <r>
      <t>g</t>
    </r>
    <r>
      <rPr>
        <sz val="10"/>
        <rFont val="Arial"/>
        <family val="2"/>
      </rPr>
      <t>Labor is for each additional sensor.</t>
    </r>
  </si>
  <si>
    <r>
      <t>h</t>
    </r>
    <r>
      <rPr>
        <sz val="10"/>
        <rFont val="Arial"/>
        <family val="2"/>
      </rPr>
      <t>Based on 3 days for four technicians.</t>
    </r>
  </si>
  <si>
    <r>
      <t>i</t>
    </r>
    <r>
      <rPr>
        <sz val="10"/>
        <rFont val="Arial"/>
        <family val="2"/>
      </rPr>
      <t>Based on 2 days for four technicians.</t>
    </r>
  </si>
  <si>
    <r>
      <t>j</t>
    </r>
    <r>
      <rPr>
        <sz val="11"/>
        <color theme="1"/>
        <rFont val="Calibri"/>
        <family val="2"/>
        <scheme val="minor"/>
      </rPr>
      <t>Add 0.5 hr/d for a Hg analyzer, regardless of the number of other gas analyzers.</t>
    </r>
  </si>
  <si>
    <r>
      <t>k</t>
    </r>
    <r>
      <rPr>
        <sz val="11"/>
        <color theme="1"/>
        <rFont val="Calibri"/>
        <family val="2"/>
        <scheme val="minor"/>
      </rPr>
      <t>Add 2 hr/wk for a Hg analyzer, regardless of the number of other gas analyzers.</t>
    </r>
  </si>
  <si>
    <r>
      <t>l</t>
    </r>
    <r>
      <rPr>
        <sz val="10"/>
        <rFont val="Arial"/>
        <family val="2"/>
      </rPr>
      <t>Labor for BLD systems is per sensor.</t>
    </r>
  </si>
  <si>
    <r>
      <t>m</t>
    </r>
    <r>
      <rPr>
        <sz val="11"/>
        <color theme="1"/>
        <rFont val="Calibri"/>
        <family val="2"/>
        <scheme val="minor"/>
      </rPr>
      <t>Add 8 hr/month for a Hg analyzer, regardless of the number of other gas analyzers.</t>
    </r>
  </si>
  <si>
    <r>
      <t>n</t>
    </r>
    <r>
      <rPr>
        <sz val="10"/>
        <rFont val="Arial"/>
        <family val="2"/>
      </rPr>
      <t>2 hr/quarter for beta gauge PM monitors, and 5 hr/quarter for light scattering PM monitors</t>
    </r>
  </si>
  <si>
    <t>Summary of CEMS</t>
  </si>
  <si>
    <t>Summary of Costs</t>
  </si>
  <si>
    <r>
      <t>q</t>
    </r>
    <r>
      <rPr>
        <vertAlign val="subscript"/>
        <sz val="10"/>
        <color theme="1"/>
        <rFont val="Tahoma"/>
        <family val="2"/>
      </rPr>
      <t>fluegas(NoReheat)</t>
    </r>
  </si>
  <si>
    <t>Exhaust Gas Flow With Natural Gas Reheat</t>
  </si>
  <si>
    <r>
      <t>Flow volume into SCR catalyst following required reheat of flue gas stream to target SCR operating temperature; Natural Gas wet F-factor (10,610 wscf/MMBtu) per EPA Method 19 (8/3/17); Natural Gas HHV (1,020 MMBtu/10</t>
    </r>
    <r>
      <rPr>
        <vertAlign val="superscript"/>
        <sz val="10"/>
        <color theme="1"/>
        <rFont val="Tahoma"/>
        <family val="2"/>
      </rPr>
      <t>6</t>
    </r>
    <r>
      <rPr>
        <sz val="10"/>
        <color theme="1"/>
        <rFont val="Tahoma"/>
        <family val="2"/>
      </rPr>
      <t xml:space="preserve"> scf) per AP-42 Chapter 1.4 (July 1998); Natural Gas F-factor = 10,610 scf/MMBtu*1,020 MMBtu/10</t>
    </r>
    <r>
      <rPr>
        <vertAlign val="superscript"/>
        <sz val="10"/>
        <color theme="1"/>
        <rFont val="Tahoma"/>
        <family val="2"/>
      </rPr>
      <t>6</t>
    </r>
    <r>
      <rPr>
        <sz val="10"/>
        <color theme="1"/>
        <rFont val="Tahoma"/>
        <family val="2"/>
      </rPr>
      <t xml:space="preserve"> scf* 10</t>
    </r>
    <r>
      <rPr>
        <vertAlign val="superscript"/>
        <sz val="10"/>
        <color theme="1"/>
        <rFont val="Tahoma"/>
        <family val="2"/>
      </rPr>
      <t>3</t>
    </r>
    <r>
      <rPr>
        <sz val="10"/>
        <color theme="1"/>
        <rFont val="Tahoma"/>
        <family val="2"/>
      </rPr>
      <t xml:space="preserve"> Mcf/cf = 10,822 wscf flue gas/Mcf natural gas; Conversion from acfm at process exhaust temperature to acfm at SCR operating temperature based on temperature only (460 = conversion from °F to Rankine) and no significant pressure change assumed (14.7 psi = standard pressure)</t>
    </r>
  </si>
  <si>
    <t>SCR Operating Temperature</t>
  </si>
  <si>
    <r>
      <t>T</t>
    </r>
    <r>
      <rPr>
        <vertAlign val="subscript"/>
        <sz val="10"/>
        <color theme="1"/>
        <rFont val="Tahoma"/>
        <family val="2"/>
      </rPr>
      <t>SCR</t>
    </r>
  </si>
  <si>
    <t>Optimum SCR operation at 700°F per 2019 EPA Cost Manual, Sec 4, Chp 2 SCR, Part 2.2.2</t>
  </si>
  <si>
    <r>
      <t>Q</t>
    </r>
    <r>
      <rPr>
        <vertAlign val="subscript"/>
        <sz val="10"/>
        <rFont val="Tahoma"/>
        <family val="2"/>
      </rPr>
      <t>B</t>
    </r>
    <r>
      <rPr>
        <sz val="10"/>
        <rFont val="Tahoma"/>
        <family val="2"/>
      </rPr>
      <t>[3,380/MMBtu/hr+f(h</t>
    </r>
    <r>
      <rPr>
        <vertAlign val="subscript"/>
        <sz val="10"/>
        <rFont val="Tahoma"/>
        <family val="2"/>
      </rPr>
      <t>scr</t>
    </r>
    <r>
      <rPr>
        <sz val="10"/>
        <rFont val="Tahoma"/>
        <family val="2"/>
      </rPr>
      <t>)+ f(NH</t>
    </r>
    <r>
      <rPr>
        <vertAlign val="subscript"/>
        <sz val="10"/>
        <rFont val="Tahoma"/>
        <family val="2"/>
      </rPr>
      <t>3</t>
    </r>
    <r>
      <rPr>
        <sz val="10"/>
        <rFont val="Tahoma"/>
        <family val="2"/>
      </rPr>
      <t>rate)+f(new)+ f(bypass)](3,500/Q</t>
    </r>
    <r>
      <rPr>
        <vertAlign val="subscript"/>
        <sz val="10"/>
        <rFont val="Tahoma"/>
        <family val="2"/>
      </rPr>
      <t>B</t>
    </r>
    <r>
      <rPr>
        <sz val="10"/>
        <rFont val="Tahoma"/>
        <family val="2"/>
      </rPr>
      <t>)</t>
    </r>
    <r>
      <rPr>
        <vertAlign val="superscript"/>
        <sz val="10"/>
        <rFont val="Tahoma"/>
        <family val="2"/>
      </rPr>
      <t>0.35</t>
    </r>
    <r>
      <rPr>
        <sz val="10"/>
        <rFont val="Tahoma"/>
        <family val="2"/>
      </rPr>
      <t>+ f(Vol)+ NH</t>
    </r>
    <r>
      <rPr>
        <vertAlign val="subscript"/>
        <sz val="10"/>
        <rFont val="Tahoma"/>
        <family val="2"/>
      </rPr>
      <t>3</t>
    </r>
    <r>
      <rPr>
        <sz val="10"/>
        <rFont val="Tahoma"/>
        <family val="2"/>
      </rPr>
      <t>MON</t>
    </r>
    <r>
      <rPr>
        <vertAlign val="subscript"/>
        <sz val="10"/>
        <rFont val="Tahoma"/>
        <family val="2"/>
      </rPr>
      <t>cost</t>
    </r>
    <r>
      <rPr>
        <sz val="10"/>
        <rFont val="Tahoma"/>
        <family val="2"/>
      </rPr>
      <t>+ NOxMON</t>
    </r>
    <r>
      <rPr>
        <vertAlign val="subscript"/>
        <sz val="10"/>
        <rFont val="Tahoma"/>
        <family val="2"/>
      </rPr>
      <t>cost</t>
    </r>
  </si>
  <si>
    <r>
      <t>(68°F+460)/(T+460)*ρ</t>
    </r>
    <r>
      <rPr>
        <i/>
        <vertAlign val="subscript"/>
        <sz val="10"/>
        <rFont val="Tahoma"/>
        <family val="2"/>
      </rPr>
      <t>air</t>
    </r>
    <r>
      <rPr>
        <i/>
        <sz val="10"/>
        <rFont val="Tahoma"/>
        <family val="2"/>
      </rPr>
      <t>*C</t>
    </r>
    <r>
      <rPr>
        <i/>
        <vertAlign val="subscript"/>
        <sz val="10"/>
        <rFont val="Tahoma"/>
        <family val="2"/>
      </rPr>
      <t>p</t>
    </r>
    <r>
      <rPr>
        <i/>
        <sz val="10"/>
        <rFont val="Tahoma"/>
        <family val="2"/>
      </rPr>
      <t>*(T</t>
    </r>
    <r>
      <rPr>
        <i/>
        <vertAlign val="subscript"/>
        <sz val="10"/>
        <rFont val="Tahoma"/>
        <family val="2"/>
      </rPr>
      <t>SCR</t>
    </r>
    <r>
      <rPr>
        <i/>
        <sz val="10"/>
        <rFont val="Tahoma"/>
        <family val="2"/>
      </rPr>
      <t>-T)*120%</t>
    </r>
  </si>
  <si>
    <t>Required natural gas input to increase flue gas temperature for optimum SCR operation; Includes 20% contingency factor to account for burner inefficiency</t>
  </si>
  <si>
    <r>
      <t>q</t>
    </r>
    <r>
      <rPr>
        <i/>
        <vertAlign val="subscript"/>
        <sz val="10"/>
        <rFont val="Tahoma"/>
        <family val="2"/>
      </rPr>
      <t>fluegas(NoReheat)</t>
    </r>
    <r>
      <rPr>
        <i/>
        <sz val="10"/>
        <rFont val="Tahoma"/>
        <family val="2"/>
      </rPr>
      <t>*Reheat/HHV</t>
    </r>
    <r>
      <rPr>
        <i/>
        <vertAlign val="subscript"/>
        <sz val="10"/>
        <rFont val="Tahoma"/>
        <family val="2"/>
      </rPr>
      <t>Natural Gas</t>
    </r>
    <r>
      <rPr>
        <i/>
        <sz val="10"/>
        <rFont val="Tahoma"/>
        <family val="2"/>
      </rPr>
      <t xml:space="preserve"> * 60 min/hr*t</t>
    </r>
    <r>
      <rPr>
        <i/>
        <vertAlign val="subscript"/>
        <sz val="10"/>
        <rFont val="Tahoma"/>
        <family val="2"/>
      </rPr>
      <t>SCR</t>
    </r>
  </si>
  <si>
    <t>NOx Generated From NG Reheat</t>
  </si>
  <si>
    <r>
      <t>NOx</t>
    </r>
    <r>
      <rPr>
        <vertAlign val="subscript"/>
        <sz val="10"/>
        <rFont val="Tahoma"/>
        <family val="2"/>
      </rPr>
      <t>Reheat</t>
    </r>
  </si>
  <si>
    <r>
      <t>NG</t>
    </r>
    <r>
      <rPr>
        <vertAlign val="subscript"/>
        <sz val="10"/>
        <rFont val="Tahoma"/>
        <family val="2"/>
      </rPr>
      <t>required</t>
    </r>
    <r>
      <rPr>
        <sz val="10"/>
        <rFont val="Tahoma"/>
        <family val="2"/>
      </rPr>
      <t xml:space="preserve"> / 10</t>
    </r>
    <r>
      <rPr>
        <vertAlign val="superscript"/>
        <sz val="10"/>
        <rFont val="Tahoma"/>
        <family val="2"/>
      </rPr>
      <t>3</t>
    </r>
    <r>
      <rPr>
        <sz val="10"/>
        <rFont val="Tahoma"/>
        <family val="2"/>
      </rPr>
      <t xml:space="preserve"> Mcf/MMcf* 100 lb NOx/MMscf/ 2,000 lb/ton</t>
    </r>
  </si>
  <si>
    <r>
      <t>NOx emission factor per AP-42 Chapter 1.4 Natural Gas Combustion, Table 1.4-1 for Small Boilers Uncontrolled (100 lb NOx/10</t>
    </r>
    <r>
      <rPr>
        <vertAlign val="superscript"/>
        <sz val="10"/>
        <rFont val="Tahoma"/>
        <family val="2"/>
      </rPr>
      <t>6</t>
    </r>
    <r>
      <rPr>
        <sz val="10"/>
        <rFont val="Tahoma"/>
        <family val="2"/>
      </rPr>
      <t xml:space="preserve"> scf)</t>
    </r>
  </si>
  <si>
    <r>
      <t xml:space="preserve">Per 2019 EPA Cost Manual, Sec 4, Chp 2 SCR, Equation 2.11; </t>
    </r>
    <r>
      <rPr>
        <b/>
        <sz val="10"/>
        <rFont val="Tahoma"/>
        <family val="2"/>
      </rPr>
      <t>Does not include NOx generated due to reheating of the flue gas to optimum SCR operating temperature.</t>
    </r>
  </si>
  <si>
    <r>
      <t>[q</t>
    </r>
    <r>
      <rPr>
        <vertAlign val="subscript"/>
        <sz val="10"/>
        <color theme="1"/>
        <rFont val="Tahoma"/>
        <family val="2"/>
      </rPr>
      <t>fluegas(NoReheat)</t>
    </r>
    <r>
      <rPr>
        <sz val="10"/>
        <color theme="1"/>
        <rFont val="Tahoma"/>
        <family val="2"/>
      </rPr>
      <t xml:space="preserve"> + NG</t>
    </r>
    <r>
      <rPr>
        <vertAlign val="subscript"/>
        <sz val="10"/>
        <color theme="1"/>
        <rFont val="Tahoma"/>
        <family val="2"/>
      </rPr>
      <t>required</t>
    </r>
    <r>
      <rPr>
        <sz val="10"/>
        <color theme="1"/>
        <rFont val="Tahoma"/>
        <family val="2"/>
      </rPr>
      <t xml:space="preserve"> / F-factor</t>
    </r>
    <r>
      <rPr>
        <vertAlign val="subscript"/>
        <sz val="10"/>
        <color theme="1"/>
        <rFont val="Tahoma"/>
        <family val="2"/>
      </rPr>
      <t>Natural Gas</t>
    </r>
    <r>
      <rPr>
        <sz val="10"/>
        <color theme="1"/>
        <rFont val="Tahoma"/>
        <family val="2"/>
      </rPr>
      <t xml:space="preserve"> (wscf/Mcf) /(t</t>
    </r>
    <r>
      <rPr>
        <vertAlign val="subscript"/>
        <sz val="10"/>
        <color theme="1"/>
        <rFont val="Tahoma"/>
        <family val="2"/>
      </rPr>
      <t xml:space="preserve">SCR </t>
    </r>
    <r>
      <rPr>
        <sz val="10"/>
        <color theme="1"/>
        <rFont val="Tahoma"/>
        <family val="2"/>
      </rPr>
      <t>*60 min/hr)]* (T</t>
    </r>
    <r>
      <rPr>
        <vertAlign val="subscript"/>
        <sz val="10"/>
        <color theme="1"/>
        <rFont val="Tahoma"/>
        <family val="2"/>
      </rPr>
      <t>SCR</t>
    </r>
    <r>
      <rPr>
        <sz val="10"/>
        <color theme="1"/>
        <rFont val="Tahoma"/>
        <family val="2"/>
      </rPr>
      <t>+460)/ (T+460)</t>
    </r>
  </si>
  <si>
    <r>
      <t>Maximum exhaust flowrate; Assumed dry exhaust gas; Conversion from scfm to acfm based on temperature only (68</t>
    </r>
    <r>
      <rPr>
        <sz val="10"/>
        <color theme="1"/>
        <rFont val="Calibri"/>
        <family val="2"/>
      </rPr>
      <t>°</t>
    </r>
    <r>
      <rPr>
        <sz val="10"/>
        <color theme="1"/>
        <rFont val="Tahoma"/>
        <family val="2"/>
      </rPr>
      <t>F standard temperature; 460 = conversion from °F to Rankine); No significant pressure change assumed (14.7 psi = standard pressure)</t>
    </r>
  </si>
  <si>
    <t>Potential annual NOx emissions</t>
  </si>
  <si>
    <t>Maximum annual operating hours</t>
  </si>
  <si>
    <t>https://www.eia.gov/dnav/ng/NG_PRI_SUM_DCU_SOH_M.htm</t>
  </si>
  <si>
    <t>https://www.eia.gov/state/data.php?sid=OH</t>
  </si>
  <si>
    <t>Retrofit Factor</t>
  </si>
  <si>
    <t>Per 2002 EPA Cost Manual, retrofit factors as high as 50% of TCI can be justified at the study level for complex systems.</t>
  </si>
  <si>
    <t>Based on 2009 RACT study</t>
  </si>
  <si>
    <t>Potential Annual NOx Emission Rate</t>
  </si>
  <si>
    <t>Lorain</t>
  </si>
  <si>
    <t>Rotary Furnace</t>
  </si>
  <si>
    <t>Reheat Furnace</t>
  </si>
  <si>
    <t>50% of TCI</t>
  </si>
  <si>
    <t>Table C-1. P035 SCR Cost Analysis</t>
  </si>
  <si>
    <t>Table C-3. P040 SCR Cost Analysis</t>
  </si>
  <si>
    <t>Table C-2. P039 SCR Cost Analysis</t>
  </si>
  <si>
    <t xml:space="preserve">https://www.federalreserve.gov/releases/h15/ </t>
  </si>
  <si>
    <t>Based on limited success of SCR application at reheat furnace at Beta Steel. The emission limit for the Beta Steel reheat furnace was initially set at 0.014 lb/MMBtu. However, Beta Steel ultimately increased that emissions limit by 5.5X to 0.077 lb/MMBtu due to SCR performance issues on the reheat furnace. Assuming the initial emission limit (i.e., 0.014 lb/MMBtu) was set based on the upper range of expected SCR removal efficiency (i.e., 90% [see https://www3.epa.gov/ttncatc1/dir1/fscr.pdf]) gives an estimated uncontrolled NOx emission rate of 0.14 lb/MMBtu. Accordingly, the final NOx emission limit represents ~45% NOx removal. These calculations conservatively assume 50% NOx removal for SCR on a reheat furnace.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</si>
</sst>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0.0"/>
    <numFmt numFmtId="165" formatCode="#,##0.000"/>
    <numFmt numFmtId="166" formatCode="0.0"/>
    <numFmt numFmtId="167" formatCode="m/d/yy;@"/>
    <numFmt numFmtId="168" formatCode="0.0000"/>
    <numFmt numFmtId="169" formatCode="0.000"/>
    <numFmt numFmtId="170" formatCode="#,##0.0000"/>
  </numFmts>
  <fonts count="34" x14ac:knownFonts="1">
    <font>
      <sz val="11"/>
      <color theme="1"/>
      <name val="Calibri"/>
      <family val="2"/>
      <scheme val="minor"/>
    </font>
    <font>
      <sz val="10"/>
      <color theme="1"/>
      <name val="Tahoma"/>
      <family val="2"/>
    </font>
    <font>
      <sz val="11"/>
      <color theme="1"/>
      <name val="Calibri"/>
      <family val="2"/>
    </font>
    <font>
      <sz val="11"/>
      <color theme="1"/>
      <name val="Calibri"/>
      <family val="2"/>
      <scheme val="minor"/>
    </font>
    <font>
      <sz val="10"/>
      <name val="Arial"/>
      <family val="2"/>
    </font>
    <font>
      <sz val="10"/>
      <color theme="1"/>
      <name val="Tahoma"/>
      <family val="2"/>
    </font>
    <font>
      <b/>
      <i/>
      <sz val="10"/>
      <name val="Tahoma"/>
      <family val="2"/>
    </font>
    <font>
      <b/>
      <sz val="10"/>
      <color theme="1"/>
      <name val="Tahoma"/>
      <family val="2"/>
    </font>
    <font>
      <b/>
      <sz val="10"/>
      <color rgb="FFFF0000"/>
      <name val="Tahoma"/>
      <family val="2"/>
    </font>
    <font>
      <vertAlign val="subscript"/>
      <sz val="10"/>
      <color theme="1"/>
      <name val="Tahoma"/>
      <family val="2"/>
    </font>
    <font>
      <vertAlign val="superscript"/>
      <sz val="10"/>
      <color theme="1"/>
      <name val="Tahoma"/>
      <family val="2"/>
    </font>
    <font>
      <sz val="10"/>
      <name val="Tahoma"/>
      <family val="2"/>
    </font>
    <font>
      <vertAlign val="subscript"/>
      <sz val="10"/>
      <name val="Tahoma"/>
      <family val="2"/>
    </font>
    <font>
      <sz val="10"/>
      <color rgb="FFFF0000"/>
      <name val="Tahoma"/>
      <family val="2"/>
    </font>
    <font>
      <b/>
      <sz val="10"/>
      <name val="Tahoma"/>
      <family val="2"/>
    </font>
    <font>
      <vertAlign val="superscript"/>
      <sz val="10"/>
      <name val="Tahoma"/>
      <family val="2"/>
    </font>
    <font>
      <b/>
      <vertAlign val="subscript"/>
      <sz val="10"/>
      <name val="Tahoma"/>
      <family val="2"/>
    </font>
    <font>
      <sz val="8"/>
      <name val="Tahoma"/>
      <family val="2"/>
    </font>
    <font>
      <sz val="8"/>
      <color theme="1"/>
      <name val="Tahoma"/>
      <family val="2"/>
    </font>
    <font>
      <b/>
      <sz val="8"/>
      <color theme="1"/>
      <name val="Tahoma"/>
      <family val="2"/>
    </font>
    <font>
      <i/>
      <sz val="10"/>
      <color theme="1"/>
      <name val="Tahoma"/>
      <family val="2"/>
    </font>
    <font>
      <vertAlign val="subscript"/>
      <sz val="10"/>
      <name val="Arial"/>
      <family val="2"/>
    </font>
    <font>
      <u/>
      <sz val="10"/>
      <name val="Arial"/>
      <family val="2"/>
    </font>
    <font>
      <sz val="10"/>
      <color indexed="10"/>
      <name val="Arial"/>
      <family val="2"/>
    </font>
    <font>
      <vertAlign val="superscript"/>
      <sz val="10"/>
      <name val="Arial"/>
      <family val="2"/>
    </font>
    <font>
      <u/>
      <sz val="11"/>
      <color theme="10"/>
      <name val="Calibri"/>
      <family val="2"/>
      <scheme val="minor"/>
    </font>
    <font>
      <sz val="10"/>
      <color rgb="FF00B050"/>
      <name val="Tahoma"/>
      <family val="2"/>
    </font>
    <font>
      <u/>
      <sz val="10"/>
      <color theme="10"/>
      <name val="Tahoma"/>
      <family val="2"/>
    </font>
    <font>
      <sz val="10"/>
      <color theme="1"/>
      <name val="Calibri"/>
      <family val="2"/>
    </font>
    <font>
      <i/>
      <sz val="10"/>
      <name val="Tahoma"/>
      <family val="2"/>
    </font>
    <font>
      <i/>
      <sz val="10"/>
      <name val="Calibri"/>
      <family val="2"/>
    </font>
    <font>
      <i/>
      <vertAlign val="subscript"/>
      <sz val="10"/>
      <name val="Tahoma"/>
      <family val="2"/>
    </font>
    <font>
      <i/>
      <vertAlign val="superscript"/>
      <sz val="10"/>
      <name val="Tahoma"/>
      <family val="2"/>
    </font>
    <font>
      <i/>
      <u/>
      <sz val="10"/>
      <color theme="10"/>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indexed="47"/>
        <bgColor indexed="64"/>
      </patternFill>
    </fill>
  </fills>
  <borders count="33">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auto="1"/>
      </right>
      <top/>
      <bottom/>
      <diagonal/>
    </border>
    <border>
      <left style="medium">
        <color indexed="64"/>
      </left>
      <right style="thin">
        <color indexed="64"/>
      </right>
      <top/>
      <bottom/>
      <diagonal/>
    </border>
    <border>
      <left style="thin">
        <color auto="1"/>
      </left>
      <right style="medium">
        <color indexed="64"/>
      </right>
      <top/>
      <bottom/>
      <diagonal/>
    </border>
    <border>
      <left style="thin">
        <color auto="1"/>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auto="1"/>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style="thin">
        <color auto="1"/>
      </top>
      <bottom style="medium">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s>
  <cellStyleXfs count="5">
    <xf numFmtId="0" fontId="0" fillId="0" borderId="0"/>
    <xf numFmtId="0" fontId="2" fillId="0" borderId="0"/>
    <xf numFmtId="9" fontId="3" fillId="0" borderId="0" applyFont="0" applyFill="0" applyBorder="0" applyAlignment="0" applyProtection="0"/>
    <xf numFmtId="0" fontId="4" fillId="0" borderId="0"/>
    <xf numFmtId="0" fontId="25" fillId="0" borderId="0" applyNumberFormat="0" applyFill="0" applyBorder="0" applyAlignment="0" applyProtection="0"/>
  </cellStyleXfs>
  <cellXfs count="210">
    <xf numFmtId="0" fontId="0" fillId="0" borderId="0" xfId="0"/>
    <xf numFmtId="0" fontId="6" fillId="0" borderId="0" xfId="0" applyFont="1" applyAlignment="1">
      <alignment vertical="top"/>
    </xf>
    <xf numFmtId="0" fontId="5" fillId="0" borderId="0" xfId="0" applyFont="1" applyAlignment="1">
      <alignment horizontal="center"/>
    </xf>
    <xf numFmtId="0" fontId="5" fillId="0" borderId="0" xfId="0" applyFont="1" applyAlignment="1">
      <alignment horizontal="left" wrapText="1"/>
    </xf>
    <xf numFmtId="3" fontId="5" fillId="0" borderId="0" xfId="0" applyNumberFormat="1" applyFont="1"/>
    <xf numFmtId="0" fontId="5" fillId="0" borderId="0" xfId="0" applyFont="1" applyAlignment="1">
      <alignment wrapText="1"/>
    </xf>
    <xf numFmtId="0" fontId="5" fillId="0" borderId="0" xfId="0" applyFont="1"/>
    <xf numFmtId="0" fontId="7" fillId="0" borderId="10" xfId="0" applyFont="1" applyBorder="1" applyAlignment="1">
      <alignment horizontal="center"/>
    </xf>
    <xf numFmtId="0" fontId="7" fillId="0" borderId="20" xfId="0" applyFont="1" applyBorder="1" applyAlignment="1">
      <alignment horizontal="center" vertical="center"/>
    </xf>
    <xf numFmtId="0" fontId="7" fillId="0" borderId="20" xfId="0" applyFont="1" applyBorder="1" applyAlignment="1">
      <alignment horizontal="center" vertical="center" wrapText="1"/>
    </xf>
    <xf numFmtId="3" fontId="7" fillId="0" borderId="20" xfId="0" applyNumberFormat="1" applyFont="1" applyBorder="1" applyAlignment="1">
      <alignment horizontal="center" vertical="center" wrapText="1"/>
    </xf>
    <xf numFmtId="0" fontId="7" fillId="0" borderId="11" xfId="0" applyFont="1" applyBorder="1" applyAlignment="1">
      <alignment horizontal="center" vertical="center" wrapText="1"/>
    </xf>
    <xf numFmtId="0" fontId="5" fillId="0" borderId="19" xfId="0" applyFont="1" applyBorder="1" applyAlignment="1">
      <alignment vertical="center" wrapText="1"/>
    </xf>
    <xf numFmtId="0" fontId="5" fillId="2" borderId="21" xfId="0" applyFont="1" applyFill="1" applyBorder="1" applyAlignment="1">
      <alignment horizontal="left" vertical="center" wrapText="1"/>
    </xf>
    <xf numFmtId="3" fontId="5" fillId="2" borderId="22" xfId="0" applyNumberFormat="1" applyFont="1" applyFill="1" applyBorder="1" applyAlignment="1">
      <alignment horizontal="right" vertical="center"/>
    </xf>
    <xf numFmtId="0" fontId="5" fillId="2" borderId="23" xfId="0" applyFont="1" applyFill="1" applyBorder="1" applyAlignment="1">
      <alignment vertical="center" wrapText="1"/>
    </xf>
    <xf numFmtId="0" fontId="5" fillId="0" borderId="2" xfId="0" applyFont="1" applyBorder="1" applyAlignment="1">
      <alignment vertical="center" wrapText="1"/>
    </xf>
    <xf numFmtId="0" fontId="5" fillId="2" borderId="24" xfId="0" applyFont="1" applyFill="1" applyBorder="1" applyAlignment="1">
      <alignment horizontal="left" vertical="center" wrapText="1"/>
    </xf>
    <xf numFmtId="3" fontId="5" fillId="2" borderId="25" xfId="0" applyNumberFormat="1" applyFont="1" applyFill="1" applyBorder="1" applyAlignment="1">
      <alignment horizontal="right" vertical="center"/>
    </xf>
    <xf numFmtId="0" fontId="5" fillId="2" borderId="26" xfId="0" applyFont="1" applyFill="1" applyBorder="1" applyAlignment="1">
      <alignment vertical="center" wrapText="1"/>
    </xf>
    <xf numFmtId="0" fontId="7" fillId="2" borderId="12" xfId="0" applyFont="1" applyFill="1" applyBorder="1" applyAlignment="1">
      <alignment vertical="center" wrapText="1"/>
    </xf>
    <xf numFmtId="0" fontId="7" fillId="2" borderId="14" xfId="0" applyFont="1" applyFill="1" applyBorder="1" applyAlignment="1">
      <alignment horizontal="center" vertical="center"/>
    </xf>
    <xf numFmtId="0" fontId="7" fillId="2" borderId="14" xfId="0" applyFont="1" applyFill="1" applyBorder="1" applyAlignment="1">
      <alignment horizontal="left" vertical="center" wrapText="1"/>
    </xf>
    <xf numFmtId="3" fontId="8" fillId="2" borderId="14" xfId="0" applyNumberFormat="1" applyFont="1" applyFill="1" applyBorder="1" applyAlignment="1">
      <alignment vertical="center"/>
    </xf>
    <xf numFmtId="0" fontId="8" fillId="2" borderId="14" xfId="0" applyFont="1" applyFill="1" applyBorder="1" applyAlignment="1">
      <alignment vertical="center" wrapText="1"/>
    </xf>
    <xf numFmtId="0" fontId="8" fillId="2" borderId="13" xfId="0" applyFont="1" applyFill="1" applyBorder="1" applyAlignment="1">
      <alignment vertical="center" wrapText="1"/>
    </xf>
    <xf numFmtId="0" fontId="5" fillId="0" borderId="6" xfId="0" applyFont="1" applyBorder="1" applyAlignment="1">
      <alignment horizontal="center" vertical="center"/>
    </xf>
    <xf numFmtId="0" fontId="5" fillId="0" borderId="6" xfId="0" applyFont="1" applyBorder="1" applyAlignment="1">
      <alignment horizontal="lef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3"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horizontal="center" vertical="center"/>
    </xf>
    <xf numFmtId="0" fontId="5" fillId="0" borderId="9" xfId="0" applyFont="1" applyBorder="1" applyAlignment="1">
      <alignment horizontal="left" vertical="center" wrapText="1"/>
    </xf>
    <xf numFmtId="6" fontId="5" fillId="0" borderId="6" xfId="0" applyNumberFormat="1" applyFont="1" applyBorder="1" applyAlignment="1">
      <alignment horizontal="left" vertical="center" wrapText="1"/>
    </xf>
    <xf numFmtId="3" fontId="5" fillId="0" borderId="6" xfId="0" applyNumberFormat="1" applyFont="1" applyBorder="1" applyAlignment="1">
      <alignment horizontal="right" vertical="center"/>
    </xf>
    <xf numFmtId="0" fontId="5" fillId="0" borderId="2" xfId="0" applyFont="1" applyBorder="1" applyAlignment="1">
      <alignment horizontal="left" vertical="center" wrapText="1"/>
    </xf>
    <xf numFmtId="0" fontId="11" fillId="0" borderId="9" xfId="0" applyFont="1" applyBorder="1" applyAlignment="1">
      <alignment horizontal="center" vertical="center"/>
    </xf>
    <xf numFmtId="0" fontId="13" fillId="0" borderId="9" xfId="0" applyFont="1" applyBorder="1" applyAlignment="1">
      <alignment horizontal="left" vertical="center" wrapText="1"/>
    </xf>
    <xf numFmtId="0" fontId="13" fillId="0" borderId="0" xfId="0" applyFont="1"/>
    <xf numFmtId="0" fontId="14" fillId="2" borderId="12" xfId="0" applyFont="1" applyFill="1" applyBorder="1" applyAlignment="1">
      <alignment vertical="center" wrapText="1"/>
    </xf>
    <xf numFmtId="0" fontId="8" fillId="2" borderId="14" xfId="0" applyFont="1" applyFill="1" applyBorder="1" applyAlignment="1">
      <alignment horizontal="center" vertical="center"/>
    </xf>
    <xf numFmtId="0" fontId="8" fillId="2" borderId="14" xfId="0" applyFont="1" applyFill="1" applyBorder="1" applyAlignment="1">
      <alignment horizontal="left" vertical="center" wrapText="1"/>
    </xf>
    <xf numFmtId="0" fontId="11" fillId="0" borderId="6"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vertical="center" wrapText="1"/>
    </xf>
    <xf numFmtId="0" fontId="11" fillId="0" borderId="2" xfId="0" applyFont="1" applyBorder="1" applyAlignment="1">
      <alignmen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2" xfId="0" applyFont="1" applyBorder="1" applyAlignment="1">
      <alignment horizontal="left" vertical="center" wrapText="1"/>
    </xf>
    <xf numFmtId="3" fontId="5" fillId="0" borderId="1" xfId="0" applyNumberFormat="1" applyFont="1" applyBorder="1" applyAlignment="1">
      <alignment vertical="center"/>
    </xf>
    <xf numFmtId="4" fontId="11" fillId="0" borderId="1" xfId="0" applyNumberFormat="1" applyFont="1" applyBorder="1" applyAlignment="1">
      <alignment horizontal="left" vertical="center" wrapText="1"/>
    </xf>
    <xf numFmtId="4" fontId="5" fillId="0" borderId="1" xfId="0" applyNumberFormat="1" applyFont="1" applyBorder="1" applyAlignment="1">
      <alignment vertical="center"/>
    </xf>
    <xf numFmtId="0" fontId="5" fillId="0" borderId="4" xfId="0" applyFont="1" applyBorder="1" applyAlignment="1">
      <alignment vertical="center" wrapText="1"/>
    </xf>
    <xf numFmtId="0" fontId="11" fillId="0" borderId="27" xfId="0" applyFont="1" applyBorder="1" applyAlignment="1">
      <alignment horizontal="center" vertical="center"/>
    </xf>
    <xf numFmtId="0" fontId="11" fillId="0" borderId="27" xfId="0" applyFont="1" applyBorder="1" applyAlignment="1">
      <alignment horizontal="left" vertical="center" wrapText="1"/>
    </xf>
    <xf numFmtId="3" fontId="5" fillId="0" borderId="27" xfId="0" applyNumberFormat="1" applyFont="1" applyBorder="1" applyAlignment="1">
      <alignment vertical="center"/>
    </xf>
    <xf numFmtId="0" fontId="5" fillId="0" borderId="27" xfId="0" applyFont="1" applyBorder="1" applyAlignment="1">
      <alignment vertical="center" wrapText="1"/>
    </xf>
    <xf numFmtId="0" fontId="11" fillId="0" borderId="5" xfId="0" applyFont="1" applyBorder="1" applyAlignment="1">
      <alignment vertical="center" wrapText="1"/>
    </xf>
    <xf numFmtId="3" fontId="5" fillId="0" borderId="6" xfId="0" applyNumberFormat="1" applyFont="1" applyBorder="1" applyAlignment="1">
      <alignment vertical="center"/>
    </xf>
    <xf numFmtId="3" fontId="11" fillId="0" borderId="1" xfId="0" applyNumberFormat="1" applyFont="1" applyBorder="1" applyAlignment="1">
      <alignment horizontal="right" vertical="center"/>
    </xf>
    <xf numFmtId="0" fontId="11" fillId="0" borderId="0" xfId="0" applyFont="1"/>
    <xf numFmtId="0" fontId="11" fillId="0" borderId="1" xfId="0" quotePrefix="1" applyFont="1" applyBorder="1" applyAlignment="1">
      <alignment horizontal="left" vertical="center" wrapText="1"/>
    </xf>
    <xf numFmtId="3" fontId="11" fillId="0" borderId="1" xfId="0" applyNumberFormat="1" applyFont="1" applyBorder="1" applyAlignment="1">
      <alignment horizontal="left" vertical="center" wrapText="1"/>
    </xf>
    <xf numFmtId="0" fontId="11" fillId="0" borderId="19" xfId="0" applyFont="1" applyBorder="1" applyAlignment="1">
      <alignment vertical="center" wrapText="1"/>
    </xf>
    <xf numFmtId="3" fontId="11" fillId="0" borderId="6" xfId="0" applyNumberFormat="1" applyFont="1" applyBorder="1" applyAlignment="1">
      <alignment vertical="center"/>
    </xf>
    <xf numFmtId="0" fontId="11" fillId="0" borderId="6" xfId="0" applyFont="1" applyBorder="1" applyAlignment="1">
      <alignment vertical="center" wrapText="1"/>
    </xf>
    <xf numFmtId="0" fontId="5" fillId="0" borderId="16" xfId="0" applyFont="1" applyBorder="1" applyAlignment="1">
      <alignment vertical="center" wrapText="1"/>
    </xf>
    <xf numFmtId="0" fontId="11" fillId="0" borderId="15" xfId="0" applyFont="1" applyBorder="1" applyAlignment="1">
      <alignment horizontal="center" vertical="center"/>
    </xf>
    <xf numFmtId="0" fontId="11" fillId="0" borderId="15" xfId="0" applyFont="1" applyBorder="1" applyAlignment="1">
      <alignment horizontal="left" vertical="center" wrapText="1"/>
    </xf>
    <xf numFmtId="3" fontId="5" fillId="0" borderId="15" xfId="0" applyNumberFormat="1" applyFont="1" applyBorder="1" applyAlignment="1">
      <alignment vertical="center"/>
    </xf>
    <xf numFmtId="0" fontId="11" fillId="0" borderId="15" xfId="0" applyFont="1" applyBorder="1" applyAlignment="1">
      <alignment vertical="center" wrapText="1"/>
    </xf>
    <xf numFmtId="0" fontId="11" fillId="0" borderId="17" xfId="0" applyFont="1" applyBorder="1" applyAlignment="1">
      <alignment vertical="center" wrapText="1"/>
    </xf>
    <xf numFmtId="0" fontId="14" fillId="2" borderId="14" xfId="0" applyFont="1" applyFill="1" applyBorder="1" applyAlignment="1">
      <alignment horizontal="center" vertical="center"/>
    </xf>
    <xf numFmtId="0" fontId="14" fillId="2" borderId="14" xfId="0" applyFont="1" applyFill="1" applyBorder="1" applyAlignment="1">
      <alignment horizontal="left" vertical="center" wrapText="1"/>
    </xf>
    <xf numFmtId="3" fontId="14" fillId="2" borderId="14" xfId="0" applyNumberFormat="1" applyFont="1" applyFill="1" applyBorder="1" applyAlignment="1">
      <alignment vertical="center"/>
    </xf>
    <xf numFmtId="0" fontId="14" fillId="2" borderId="14" xfId="0" applyFont="1" applyFill="1" applyBorder="1" applyAlignment="1">
      <alignment vertical="center" wrapText="1"/>
    </xf>
    <xf numFmtId="0" fontId="14" fillId="2" borderId="13" xfId="0" applyFont="1" applyFill="1" applyBorder="1" applyAlignment="1">
      <alignment vertical="center" wrapText="1"/>
    </xf>
    <xf numFmtId="0" fontId="14" fillId="0" borderId="10" xfId="0" applyFont="1" applyBorder="1" applyAlignment="1">
      <alignment vertical="center" wrapText="1"/>
    </xf>
    <xf numFmtId="0" fontId="11" fillId="0" borderId="20" xfId="0" applyFont="1" applyBorder="1" applyAlignment="1">
      <alignment horizontal="center" vertical="center"/>
    </xf>
    <xf numFmtId="0" fontId="11" fillId="0" borderId="20" xfId="0" applyFont="1" applyBorder="1" applyAlignment="1">
      <alignment horizontal="left" vertical="center" wrapText="1"/>
    </xf>
    <xf numFmtId="3" fontId="14" fillId="0" borderId="20" xfId="0" applyNumberFormat="1" applyFont="1" applyBorder="1" applyAlignment="1">
      <alignment vertical="center"/>
    </xf>
    <xf numFmtId="0" fontId="14" fillId="0" borderId="20" xfId="0" applyFont="1" applyBorder="1" applyAlignment="1">
      <alignment vertical="center" wrapText="1"/>
    </xf>
    <xf numFmtId="0" fontId="11" fillId="0" borderId="11" xfId="0" applyFont="1" applyBorder="1" applyAlignment="1">
      <alignment vertical="center" wrapText="1"/>
    </xf>
    <xf numFmtId="10" fontId="5" fillId="0" borderId="1" xfId="2" applyNumberFormat="1" applyFont="1" applyFill="1" applyBorder="1" applyAlignment="1">
      <alignment vertical="center"/>
    </xf>
    <xf numFmtId="4" fontId="5" fillId="0" borderId="15" xfId="0" applyNumberFormat="1" applyFont="1" applyBorder="1" applyAlignment="1">
      <alignment vertical="center"/>
    </xf>
    <xf numFmtId="0" fontId="5" fillId="0" borderId="15" xfId="0" applyFont="1" applyBorder="1" applyAlignment="1">
      <alignment vertical="center" wrapText="1"/>
    </xf>
    <xf numFmtId="0" fontId="7" fillId="0" borderId="0" xfId="0" applyFont="1"/>
    <xf numFmtId="0" fontId="18" fillId="0" borderId="0" xfId="0" applyFont="1" applyAlignment="1">
      <alignment horizontal="center"/>
    </xf>
    <xf numFmtId="0" fontId="18" fillId="0" borderId="0" xfId="0" applyFont="1" applyAlignment="1">
      <alignment horizontal="left" wrapText="1"/>
    </xf>
    <xf numFmtId="3" fontId="18" fillId="0" borderId="0" xfId="0" applyNumberFormat="1" applyFont="1"/>
    <xf numFmtId="0" fontId="18" fillId="0" borderId="0" xfId="0" applyFont="1" applyAlignment="1">
      <alignment wrapText="1"/>
    </xf>
    <xf numFmtId="0" fontId="18" fillId="0" borderId="0" xfId="0" applyFont="1"/>
    <xf numFmtId="0" fontId="19" fillId="0" borderId="10" xfId="0" applyFont="1" applyBorder="1" applyAlignment="1">
      <alignment horizontal="center"/>
    </xf>
    <xf numFmtId="0" fontId="19" fillId="0" borderId="11" xfId="0" applyFont="1" applyBorder="1" applyAlignment="1">
      <alignment horizontal="left" wrapText="1"/>
    </xf>
    <xf numFmtId="0" fontId="18" fillId="0" borderId="19" xfId="0" applyFont="1" applyBorder="1" applyAlignment="1">
      <alignment horizontal="center"/>
    </xf>
    <xf numFmtId="0" fontId="18" fillId="0" borderId="7" xfId="0" applyFont="1" applyBorder="1" applyAlignment="1">
      <alignment horizontal="left" wrapText="1"/>
    </xf>
    <xf numFmtId="0" fontId="18" fillId="0" borderId="2" xfId="0" applyFont="1" applyBorder="1" applyAlignment="1">
      <alignment horizontal="center"/>
    </xf>
    <xf numFmtId="0" fontId="18" fillId="0" borderId="3" xfId="0" applyFont="1" applyBorder="1" applyAlignment="1">
      <alignment horizontal="left" wrapText="1"/>
    </xf>
    <xf numFmtId="3" fontId="18" fillId="0" borderId="0" xfId="0" applyNumberFormat="1" applyFont="1" applyAlignment="1">
      <alignment wrapText="1"/>
    </xf>
    <xf numFmtId="0" fontId="17" fillId="0" borderId="0" xfId="0" applyFont="1"/>
    <xf numFmtId="0" fontId="5" fillId="0" borderId="8" xfId="0" applyFont="1" applyBorder="1" applyAlignment="1">
      <alignment horizontal="left" vertical="center" wrapText="1"/>
    </xf>
    <xf numFmtId="0" fontId="20" fillId="0" borderId="1" xfId="0" applyFont="1" applyBorder="1" applyAlignment="1">
      <alignment horizontal="center" vertical="center"/>
    </xf>
    <xf numFmtId="3" fontId="11" fillId="0" borderId="9" xfId="0" applyNumberFormat="1" applyFont="1" applyBorder="1" applyAlignment="1">
      <alignment horizontal="left" vertical="center" wrapText="1"/>
    </xf>
    <xf numFmtId="0" fontId="4" fillId="0" borderId="0" xfId="3"/>
    <xf numFmtId="14" fontId="4" fillId="0" borderId="0" xfId="3" applyNumberFormat="1"/>
    <xf numFmtId="0" fontId="4" fillId="0" borderId="0" xfId="3" quotePrefix="1"/>
    <xf numFmtId="167" fontId="4" fillId="0" borderId="0" xfId="3" applyNumberFormat="1"/>
    <xf numFmtId="0" fontId="22" fillId="0" borderId="0" xfId="3" applyFont="1"/>
    <xf numFmtId="0" fontId="4" fillId="0" borderId="0" xfId="3" applyAlignment="1">
      <alignment horizontal="right"/>
    </xf>
    <xf numFmtId="0" fontId="4" fillId="0" borderId="0" xfId="3" applyProtection="1">
      <protection locked="0"/>
    </xf>
    <xf numFmtId="0" fontId="23" fillId="0" borderId="0" xfId="3" applyFont="1"/>
    <xf numFmtId="3" fontId="4" fillId="0" borderId="0" xfId="3" applyNumberFormat="1" applyProtection="1">
      <protection locked="0"/>
    </xf>
    <xf numFmtId="164" fontId="4" fillId="0" borderId="0" xfId="3" applyNumberFormat="1"/>
    <xf numFmtId="3" fontId="4" fillId="0" borderId="0" xfId="3" applyNumberFormat="1"/>
    <xf numFmtId="2" fontId="4" fillId="0" borderId="0" xfId="3" applyNumberFormat="1"/>
    <xf numFmtId="168" fontId="4" fillId="0" borderId="0" xfId="3" applyNumberFormat="1"/>
    <xf numFmtId="166" fontId="4" fillId="0" borderId="0" xfId="3" applyNumberFormat="1"/>
    <xf numFmtId="169" fontId="4" fillId="0" borderId="0" xfId="3" applyNumberFormat="1"/>
    <xf numFmtId="0" fontId="4" fillId="0" borderId="0" xfId="3" applyAlignment="1">
      <alignment horizontal="center"/>
    </xf>
    <xf numFmtId="3" fontId="22" fillId="0" borderId="0" xfId="3" applyNumberFormat="1" applyFont="1"/>
    <xf numFmtId="0" fontId="4" fillId="0" borderId="30" xfId="3" applyBorder="1" applyAlignment="1">
      <alignment horizontal="center"/>
    </xf>
    <xf numFmtId="0" fontId="4" fillId="0" borderId="28" xfId="3" applyBorder="1"/>
    <xf numFmtId="0" fontId="4" fillId="0" borderId="31" xfId="3" applyBorder="1"/>
    <xf numFmtId="0" fontId="4" fillId="0" borderId="32" xfId="3" applyBorder="1"/>
    <xf numFmtId="0" fontId="4" fillId="0" borderId="28" xfId="3" applyBorder="1" applyAlignment="1">
      <alignment horizontal="center"/>
    </xf>
    <xf numFmtId="0" fontId="4" fillId="0" borderId="31" xfId="3" applyBorder="1" applyAlignment="1">
      <alignment horizontal="center"/>
    </xf>
    <xf numFmtId="0" fontId="4" fillId="0" borderId="29" xfId="3" applyBorder="1"/>
    <xf numFmtId="0" fontId="4" fillId="0" borderId="30" xfId="3" applyBorder="1"/>
    <xf numFmtId="0" fontId="4" fillId="0" borderId="0" xfId="3" applyAlignment="1">
      <alignment wrapText="1"/>
    </xf>
    <xf numFmtId="0" fontId="4" fillId="0" borderId="0" xfId="3" applyAlignment="1">
      <alignment horizontal="center" vertical="top"/>
    </xf>
    <xf numFmtId="0" fontId="4" fillId="0" borderId="29" xfId="3" applyBorder="1" applyAlignment="1">
      <alignment horizontal="center" vertical="top"/>
    </xf>
    <xf numFmtId="0" fontId="4" fillId="0" borderId="30" xfId="3" applyBorder="1" applyAlignment="1">
      <alignment horizontal="center" vertical="top"/>
    </xf>
    <xf numFmtId="0" fontId="4" fillId="0" borderId="0" xfId="3" applyAlignment="1">
      <alignment vertical="top" wrapText="1"/>
    </xf>
    <xf numFmtId="0" fontId="4" fillId="3" borderId="0" xfId="3" applyFill="1"/>
    <xf numFmtId="0" fontId="4" fillId="3" borderId="0" xfId="3" applyFill="1" applyAlignment="1">
      <alignment wrapText="1"/>
    </xf>
    <xf numFmtId="0" fontId="4" fillId="3" borderId="0" xfId="3" applyFill="1" applyAlignment="1">
      <alignment horizontal="center" vertical="top"/>
    </xf>
    <xf numFmtId="0" fontId="4" fillId="3" borderId="29" xfId="3" applyFill="1" applyBorder="1" applyAlignment="1">
      <alignment horizontal="center" vertical="top"/>
    </xf>
    <xf numFmtId="0" fontId="4" fillId="3" borderId="30" xfId="3" applyFill="1" applyBorder="1" applyAlignment="1">
      <alignment horizontal="center" vertical="top"/>
    </xf>
    <xf numFmtId="0" fontId="24" fillId="0" borderId="0" xfId="3" applyFont="1" applyAlignment="1">
      <alignment vertical="top" wrapText="1"/>
    </xf>
    <xf numFmtId="0" fontId="24" fillId="0" borderId="0" xfId="3" applyFont="1"/>
    <xf numFmtId="0" fontId="26" fillId="0" borderId="0" xfId="0" applyFont="1"/>
    <xf numFmtId="0" fontId="27" fillId="0" borderId="0" xfId="4" applyFont="1"/>
    <xf numFmtId="0" fontId="5" fillId="0" borderId="30" xfId="0" applyFont="1" applyBorder="1" applyAlignment="1">
      <alignment horizontal="center"/>
    </xf>
    <xf numFmtId="0" fontId="5" fillId="0" borderId="0" xfId="0" applyFont="1" applyAlignment="1">
      <alignment horizontal="center" wrapText="1"/>
    </xf>
    <xf numFmtId="0" fontId="5" fillId="0" borderId="30" xfId="0" applyFont="1" applyBorder="1" applyAlignment="1">
      <alignment horizontal="center" wrapText="1"/>
    </xf>
    <xf numFmtId="0" fontId="5" fillId="0" borderId="28" xfId="0" applyFont="1" applyBorder="1" applyAlignment="1">
      <alignment horizontal="center"/>
    </xf>
    <xf numFmtId="0" fontId="5" fillId="0" borderId="32" xfId="0" applyFont="1" applyBorder="1" applyAlignment="1">
      <alignment horizontal="center"/>
    </xf>
    <xf numFmtId="0" fontId="5" fillId="0" borderId="28" xfId="0" applyFont="1" applyBorder="1" applyAlignment="1">
      <alignment horizontal="center" wrapText="1"/>
    </xf>
    <xf numFmtId="0" fontId="18" fillId="0" borderId="4" xfId="0" applyFont="1" applyBorder="1" applyAlignment="1">
      <alignment horizontal="center"/>
    </xf>
    <xf numFmtId="0" fontId="18" fillId="0" borderId="5" xfId="0" applyFont="1" applyBorder="1" applyAlignment="1">
      <alignment horizontal="left" vertical="center" wrapText="1"/>
    </xf>
    <xf numFmtId="165" fontId="5" fillId="0" borderId="0" xfId="0" applyNumberFormat="1" applyFont="1"/>
    <xf numFmtId="3" fontId="13" fillId="0" borderId="0" xfId="0" applyNumberFormat="1" applyFont="1"/>
    <xf numFmtId="164" fontId="5" fillId="0" borderId="6" xfId="0" applyNumberFormat="1" applyFont="1" applyBorder="1" applyAlignment="1">
      <alignment horizontal="right" vertical="center"/>
    </xf>
    <xf numFmtId="3" fontId="5" fillId="0" borderId="1" xfId="0" applyNumberFormat="1" applyFont="1" applyBorder="1" applyAlignment="1">
      <alignment horizontal="right" vertical="center"/>
    </xf>
    <xf numFmtId="4" fontId="5" fillId="0" borderId="1" xfId="0" applyNumberFormat="1" applyFont="1" applyBorder="1" applyAlignment="1">
      <alignment horizontal="right" vertical="center"/>
    </xf>
    <xf numFmtId="4" fontId="5" fillId="0" borderId="9" xfId="0" applyNumberFormat="1" applyFont="1" applyBorder="1" applyAlignment="1">
      <alignment horizontal="right" vertical="center"/>
    </xf>
    <xf numFmtId="0" fontId="5" fillId="0" borderId="9" xfId="0" applyFont="1" applyBorder="1" applyAlignment="1">
      <alignment vertical="center" wrapText="1"/>
    </xf>
    <xf numFmtId="4" fontId="11" fillId="0" borderId="1" xfId="0" applyNumberFormat="1" applyFont="1" applyBorder="1" applyAlignment="1">
      <alignment horizontal="right" vertical="center"/>
    </xf>
    <xf numFmtId="4" fontId="11" fillId="0" borderId="9" xfId="0" applyNumberFormat="1" applyFont="1" applyBorder="1" applyAlignment="1">
      <alignment horizontal="right" vertical="center"/>
    </xf>
    <xf numFmtId="0" fontId="25" fillId="0" borderId="18" xfId="4" applyFill="1" applyBorder="1" applyAlignment="1">
      <alignment vertical="center" wrapText="1"/>
    </xf>
    <xf numFmtId="165" fontId="5" fillId="0" borderId="9" xfId="0" applyNumberFormat="1" applyFont="1" applyBorder="1" applyAlignment="1">
      <alignment vertical="center"/>
    </xf>
    <xf numFmtId="4" fontId="5" fillId="0" borderId="6" xfId="0" applyNumberFormat="1" applyFont="1" applyBorder="1" applyAlignment="1">
      <alignment vertical="center"/>
    </xf>
    <xf numFmtId="164" fontId="5" fillId="0" borderId="1" xfId="0" applyNumberFormat="1" applyFont="1" applyBorder="1" applyAlignment="1">
      <alignment vertical="center"/>
    </xf>
    <xf numFmtId="0" fontId="11" fillId="0" borderId="9" xfId="0" applyFont="1" applyBorder="1" applyAlignment="1">
      <alignment horizontal="left" vertical="center" wrapText="1"/>
    </xf>
    <xf numFmtId="3" fontId="5" fillId="0" borderId="9" xfId="0" applyNumberFormat="1" applyFont="1" applyBorder="1" applyAlignment="1">
      <alignment vertical="center"/>
    </xf>
    <xf numFmtId="0" fontId="11" fillId="0" borderId="9" xfId="0" applyFont="1" applyBorder="1" applyAlignment="1">
      <alignment vertical="center" wrapText="1"/>
    </xf>
    <xf numFmtId="0" fontId="11" fillId="0" borderId="18" xfId="0" applyFont="1" applyBorder="1" applyAlignment="1">
      <alignment vertical="center" wrapText="1"/>
    </xf>
    <xf numFmtId="0" fontId="11" fillId="0" borderId="4" xfId="0" applyFont="1" applyBorder="1" applyAlignment="1">
      <alignment vertical="center" wrapText="1"/>
    </xf>
    <xf numFmtId="3" fontId="11" fillId="0" borderId="27" xfId="0" applyNumberFormat="1" applyFont="1" applyBorder="1" applyAlignment="1">
      <alignment vertical="center"/>
    </xf>
    <xf numFmtId="0" fontId="11" fillId="0" borderId="27" xfId="0" applyFont="1" applyBorder="1" applyAlignment="1">
      <alignment vertical="center" wrapText="1"/>
    </xf>
    <xf numFmtId="0" fontId="29" fillId="0" borderId="1" xfId="0" applyFont="1" applyBorder="1" applyAlignment="1">
      <alignment horizontal="center" vertical="center"/>
    </xf>
    <xf numFmtId="0" fontId="29" fillId="0" borderId="1" xfId="0" applyFont="1" applyBorder="1" applyAlignment="1">
      <alignment horizontal="left" vertical="center" wrapText="1"/>
    </xf>
    <xf numFmtId="0" fontId="29" fillId="0" borderId="3" xfId="0" applyFont="1" applyBorder="1" applyAlignment="1">
      <alignment vertical="center" wrapText="1"/>
    </xf>
    <xf numFmtId="0" fontId="29" fillId="0" borderId="27" xfId="0" applyFont="1" applyBorder="1" applyAlignment="1">
      <alignment horizontal="center" vertical="center"/>
    </xf>
    <xf numFmtId="0" fontId="29" fillId="0" borderId="27" xfId="0" applyFont="1" applyBorder="1" applyAlignment="1">
      <alignment horizontal="left" vertical="center" wrapText="1"/>
    </xf>
    <xf numFmtId="0" fontId="29" fillId="0" borderId="5" xfId="0" applyFont="1" applyBorder="1" applyAlignment="1">
      <alignment vertical="center" wrapText="1"/>
    </xf>
    <xf numFmtId="3" fontId="11" fillId="0" borderId="1" xfId="0" applyNumberFormat="1" applyFont="1" applyBorder="1" applyAlignment="1">
      <alignment vertical="center"/>
    </xf>
    <xf numFmtId="164" fontId="11" fillId="0" borderId="1" xfId="0" applyNumberFormat="1" applyFont="1" applyBorder="1" applyAlignment="1">
      <alignment vertical="center"/>
    </xf>
    <xf numFmtId="0" fontId="29" fillId="0" borderId="2" xfId="0" applyFont="1" applyBorder="1" applyAlignment="1">
      <alignment horizontal="left" vertical="center" wrapText="1" indent="2"/>
    </xf>
    <xf numFmtId="170" fontId="29" fillId="0" borderId="1" xfId="0" applyNumberFormat="1" applyFont="1" applyBorder="1" applyAlignment="1">
      <alignment vertical="center"/>
    </xf>
    <xf numFmtId="0" fontId="29" fillId="0" borderId="1" xfId="0" applyFont="1" applyBorder="1" applyAlignment="1">
      <alignment vertical="center" wrapText="1"/>
    </xf>
    <xf numFmtId="4" fontId="29" fillId="0" borderId="1" xfId="0" applyNumberFormat="1" applyFont="1" applyBorder="1" applyAlignment="1">
      <alignment vertical="center"/>
    </xf>
    <xf numFmtId="0" fontId="29" fillId="0" borderId="4" xfId="0" applyFont="1" applyBorder="1" applyAlignment="1">
      <alignment horizontal="left" vertical="center" wrapText="1" indent="2"/>
    </xf>
    <xf numFmtId="3" fontId="29" fillId="0" borderId="27" xfId="0" applyNumberFormat="1" applyFont="1" applyBorder="1" applyAlignment="1">
      <alignment vertical="center"/>
    </xf>
    <xf numFmtId="0" fontId="29" fillId="0" borderId="27" xfId="0" applyFont="1" applyBorder="1" applyAlignment="1">
      <alignment vertical="center" wrapText="1"/>
    </xf>
    <xf numFmtId="3" fontId="11" fillId="0" borderId="1" xfId="2" applyNumberFormat="1" applyFont="1" applyFill="1" applyBorder="1" applyAlignment="1">
      <alignment horizontal="right" vertical="center"/>
    </xf>
    <xf numFmtId="0" fontId="1" fillId="0" borderId="3" xfId="0" applyFont="1" applyBorder="1" applyAlignment="1">
      <alignment vertical="center" wrapText="1"/>
    </xf>
    <xf numFmtId="0" fontId="1" fillId="0" borderId="2" xfId="0" applyFont="1" applyBorder="1" applyAlignment="1">
      <alignment vertical="center" wrapText="1"/>
    </xf>
    <xf numFmtId="3" fontId="1" fillId="0" borderId="1" xfId="0" applyNumberFormat="1" applyFont="1" applyBorder="1" applyAlignment="1">
      <alignment horizontal="right" vertical="center"/>
    </xf>
    <xf numFmtId="0" fontId="1" fillId="0" borderId="6" xfId="0" applyFont="1" applyBorder="1" applyAlignment="1">
      <alignment horizontal="center" vertical="center" wrapText="1"/>
    </xf>
    <xf numFmtId="0" fontId="1" fillId="0" borderId="1" xfId="0" applyFont="1" applyBorder="1" applyAlignment="1">
      <alignment horizontal="center" vertical="center" wrapText="1"/>
    </xf>
    <xf numFmtId="0" fontId="33" fillId="0" borderId="0" xfId="4" applyFont="1" applyAlignment="1">
      <alignment vertical="top"/>
    </xf>
    <xf numFmtId="10" fontId="11" fillId="0" borderId="1" xfId="2" applyNumberFormat="1" applyFont="1" applyFill="1" applyBorder="1" applyAlignment="1">
      <alignment vertical="center"/>
    </xf>
    <xf numFmtId="2" fontId="5" fillId="0" borderId="15" xfId="0" applyNumberFormat="1" applyFont="1" applyBorder="1" applyAlignment="1">
      <alignment vertical="center"/>
    </xf>
    <xf numFmtId="0" fontId="6" fillId="0" borderId="12"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5" fillId="0" borderId="30" xfId="0" applyFont="1" applyBorder="1" applyAlignment="1">
      <alignment horizontal="center"/>
    </xf>
    <xf numFmtId="0" fontId="5" fillId="0" borderId="0" xfId="0" applyFont="1" applyAlignment="1">
      <alignment horizontal="center"/>
    </xf>
    <xf numFmtId="0" fontId="5" fillId="0" borderId="29" xfId="0" applyFont="1" applyBorder="1" applyAlignment="1">
      <alignment horizontal="center"/>
    </xf>
    <xf numFmtId="0" fontId="24" fillId="0" borderId="0" xfId="3" applyFont="1" applyAlignment="1">
      <alignment vertical="top" wrapText="1"/>
    </xf>
    <xf numFmtId="0" fontId="4" fillId="0" borderId="0" xfId="3" applyAlignment="1">
      <alignment horizontal="center"/>
    </xf>
    <xf numFmtId="0" fontId="4" fillId="0" borderId="29" xfId="3" applyBorder="1" applyAlignment="1">
      <alignment horizontal="center"/>
    </xf>
    <xf numFmtId="0" fontId="4" fillId="0" borderId="30" xfId="3" applyBorder="1" applyAlignment="1">
      <alignment horizontal="center"/>
    </xf>
  </cellXfs>
  <cellStyles count="5">
    <cellStyle name="Hyperlink" xfId="4" builtinId="8"/>
    <cellStyle name="Normal" xfId="0" builtinId="0"/>
    <cellStyle name="Normal 2" xfId="1" xr:uid="{00000000-0005-0000-0000-000001000000}"/>
    <cellStyle name="Normal 2 2" xfId="3" xr:uid="{00000000-0005-0000-0000-000002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xdr:colOff>
      <xdr:row>53</xdr:row>
      <xdr:rowOff>0</xdr:rowOff>
    </xdr:from>
    <xdr:to>
      <xdr:col>4</xdr:col>
      <xdr:colOff>472423</xdr:colOff>
      <xdr:row>54</xdr:row>
      <xdr:rowOff>9525</xdr:rowOff>
    </xdr:to>
    <xdr:sp macro="" textlink="">
      <xdr:nvSpPr>
        <xdr:cNvPr id="2" name="Rectangle 2">
          <a:extLst>
            <a:ext uri="{FF2B5EF4-FFF2-40B4-BE49-F238E27FC236}">
              <a16:creationId xmlns:a16="http://schemas.microsoft.com/office/drawing/2014/main" id="{10475C15-450E-44E8-A084-726C88F2FFEC}"/>
            </a:ext>
          </a:extLst>
        </xdr:cNvPr>
        <xdr:cNvSpPr>
          <a:spLocks noChangeArrowheads="1"/>
        </xdr:cNvSpPr>
      </xdr:nvSpPr>
      <xdr:spPr bwMode="auto">
        <a:xfrm>
          <a:off x="2600325" y="9037320"/>
          <a:ext cx="1712578" cy="177165"/>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0" anchor="t" upright="1"/>
        <a:lstStyle/>
        <a:p>
          <a:pPr algn="ctr" rtl="0">
            <a:defRPr sz="1000"/>
          </a:pPr>
          <a:r>
            <a:rPr lang="en-US" sz="1000" b="1" i="0" u="none" strike="noStrike" baseline="0">
              <a:solidFill>
                <a:srgbClr val="000000"/>
              </a:solidFill>
              <a:latin typeface="Arial"/>
              <a:cs typeface="Arial"/>
            </a:rPr>
            <a:t>Click to Print Summary</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federalreserve.gov/releases/h15/" TargetMode="External"/><Relationship Id="rId2" Type="http://schemas.openxmlformats.org/officeDocument/2006/relationships/hyperlink" Target="https://www.eia.gov/state/data.php?sid=OH" TargetMode="External"/><Relationship Id="rId1" Type="http://schemas.openxmlformats.org/officeDocument/2006/relationships/hyperlink" Target="https://www.eia.gov/dnav/ng/NG_PRI_SUM_DCU_SOH_M.htm"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federalreserve.gov/releases/h15/" TargetMode="External"/><Relationship Id="rId2" Type="http://schemas.openxmlformats.org/officeDocument/2006/relationships/hyperlink" Target="https://www.eia.gov/state/data.php?sid=OH" TargetMode="External"/><Relationship Id="rId1" Type="http://schemas.openxmlformats.org/officeDocument/2006/relationships/hyperlink" Target="https://www.eia.gov/dnav/ng/NG_PRI_SUM_DCU_SOH_M.htm"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federalreserve.gov/releases/h15/" TargetMode="External"/><Relationship Id="rId2" Type="http://schemas.openxmlformats.org/officeDocument/2006/relationships/hyperlink" Target="https://www.eia.gov/state/data.php?sid=OH" TargetMode="External"/><Relationship Id="rId1" Type="http://schemas.openxmlformats.org/officeDocument/2006/relationships/hyperlink" Target="https://www.eia.gov/dnav/ng/NG_PRI_SUM_DCU_SOH_M.htm" TargetMode="External"/><Relationship Id="rId4"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hyperlink" Target="https://www.epa.gov/emc/emc-continuous-emission-monitoring-systems" TargetMode="External"/><Relationship Id="rId1" Type="http://schemas.openxmlformats.org/officeDocument/2006/relationships/hyperlink" Target="https://www.epa.gov/sites/production/files/2020-08/19-cems.xl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D82BB5-B517-4979-8448-B88D6B7D4BC3}">
  <sheetPr>
    <pageSetUpPr fitToPage="1"/>
  </sheetPr>
  <dimension ref="A1:F132"/>
  <sheetViews>
    <sheetView view="pageBreakPreview" zoomScaleNormal="100" zoomScaleSheetLayoutView="100" workbookViewId="0">
      <selection activeCell="E9" sqref="E9"/>
    </sheetView>
  </sheetViews>
  <sheetFormatPr defaultColWidth="9.26953125" defaultRowHeight="12.5" x14ac:dyDescent="0.25"/>
  <cols>
    <col min="1" max="1" width="36.7265625" style="6" customWidth="1"/>
    <col min="2" max="2" width="16.54296875" style="2" customWidth="1"/>
    <col min="3" max="3" width="25.7265625" style="3" customWidth="1"/>
    <col min="4" max="4" width="15" style="4" bestFit="1" customWidth="1"/>
    <col min="5" max="5" width="16" style="5" customWidth="1"/>
    <col min="6" max="6" width="87.54296875" style="6" customWidth="1"/>
    <col min="7" max="16384" width="9.26953125" style="6"/>
  </cols>
  <sheetData>
    <row r="1" spans="1:6" ht="13" thickBot="1" x14ac:dyDescent="0.3">
      <c r="A1" s="1" t="s">
        <v>1220</v>
      </c>
    </row>
    <row r="2" spans="1:6" ht="13" thickBot="1" x14ac:dyDescent="0.3">
      <c r="A2" s="7" t="s">
        <v>1</v>
      </c>
      <c r="B2" s="8" t="s">
        <v>2</v>
      </c>
      <c r="C2" s="9" t="s">
        <v>3</v>
      </c>
      <c r="D2" s="10" t="s">
        <v>4</v>
      </c>
      <c r="E2" s="9" t="s">
        <v>5</v>
      </c>
      <c r="F2" s="11" t="s">
        <v>6</v>
      </c>
    </row>
    <row r="3" spans="1:6" x14ac:dyDescent="0.25">
      <c r="A3" s="12" t="s">
        <v>7</v>
      </c>
      <c r="B3" s="195" t="s">
        <v>1216</v>
      </c>
      <c r="C3" s="13"/>
      <c r="D3" s="14"/>
      <c r="E3" s="14"/>
      <c r="F3" s="15"/>
    </row>
    <row r="4" spans="1:6" ht="13" thickBot="1" x14ac:dyDescent="0.3">
      <c r="A4" s="16" t="s">
        <v>8</v>
      </c>
      <c r="B4" s="196" t="s">
        <v>1217</v>
      </c>
      <c r="C4" s="17"/>
      <c r="D4" s="18"/>
      <c r="E4" s="18"/>
      <c r="F4" s="19"/>
    </row>
    <row r="5" spans="1:6" ht="13" thickBot="1" x14ac:dyDescent="0.3">
      <c r="A5" s="20" t="s">
        <v>9</v>
      </c>
      <c r="B5" s="21"/>
      <c r="C5" s="22"/>
      <c r="D5" s="23"/>
      <c r="E5" s="24"/>
      <c r="F5" s="25"/>
    </row>
    <row r="6" spans="1:6" ht="15.5" x14ac:dyDescent="0.25">
      <c r="A6" s="12" t="s">
        <v>10</v>
      </c>
      <c r="B6" s="26" t="s">
        <v>11</v>
      </c>
      <c r="C6" s="27"/>
      <c r="D6" s="158">
        <v>296</v>
      </c>
      <c r="E6" s="28" t="s">
        <v>12</v>
      </c>
      <c r="F6" s="29" t="s">
        <v>13</v>
      </c>
    </row>
    <row r="7" spans="1:6" x14ac:dyDescent="0.25">
      <c r="A7" s="16" t="s">
        <v>14</v>
      </c>
      <c r="B7" s="30" t="s">
        <v>15</v>
      </c>
      <c r="C7" s="31"/>
      <c r="D7" s="159">
        <v>900</v>
      </c>
      <c r="E7" s="32" t="s">
        <v>16</v>
      </c>
      <c r="F7" s="192" t="s">
        <v>1214</v>
      </c>
    </row>
    <row r="8" spans="1:6" ht="38" x14ac:dyDescent="0.25">
      <c r="A8" s="16" t="s">
        <v>17</v>
      </c>
      <c r="B8" s="30" t="s">
        <v>1191</v>
      </c>
      <c r="C8" s="31" t="s">
        <v>19</v>
      </c>
      <c r="D8" s="159">
        <f>10610*D6/60*(14.7/14.7*(D7+460)/(68+460))</f>
        <v>134822.02020202018</v>
      </c>
      <c r="E8" s="32" t="s">
        <v>20</v>
      </c>
      <c r="F8" s="33" t="s">
        <v>1207</v>
      </c>
    </row>
    <row r="9" spans="1:6" ht="90.5" x14ac:dyDescent="0.25">
      <c r="A9" s="16" t="s">
        <v>1192</v>
      </c>
      <c r="B9" s="30" t="s">
        <v>18</v>
      </c>
      <c r="C9" s="31" t="s">
        <v>1206</v>
      </c>
      <c r="D9" s="159">
        <f>D8</f>
        <v>134822.02020202018</v>
      </c>
      <c r="E9" s="32" t="s">
        <v>20</v>
      </c>
      <c r="F9" s="33" t="s">
        <v>1193</v>
      </c>
    </row>
    <row r="10" spans="1:6" ht="15.5" x14ac:dyDescent="0.25">
      <c r="A10" s="193" t="s">
        <v>1215</v>
      </c>
      <c r="B10" s="30" t="s">
        <v>21</v>
      </c>
      <c r="C10" s="31"/>
      <c r="D10" s="159">
        <f>0.12*D6*8760/2000</f>
        <v>155.57759999999999</v>
      </c>
      <c r="E10" s="32" t="s">
        <v>22</v>
      </c>
      <c r="F10" s="33" t="s">
        <v>1208</v>
      </c>
    </row>
    <row r="11" spans="1:6" x14ac:dyDescent="0.25">
      <c r="A11" s="16" t="s">
        <v>23</v>
      </c>
      <c r="B11" s="30" t="s">
        <v>24</v>
      </c>
      <c r="C11" s="31"/>
      <c r="D11" s="159">
        <v>8760</v>
      </c>
      <c r="E11" s="32" t="s">
        <v>25</v>
      </c>
      <c r="F11" s="33" t="s">
        <v>1209</v>
      </c>
    </row>
    <row r="12" spans="1:6" ht="100" x14ac:dyDescent="0.25">
      <c r="A12" s="16" t="s">
        <v>26</v>
      </c>
      <c r="B12" s="107" t="s">
        <v>27</v>
      </c>
      <c r="C12" s="31" t="s">
        <v>28</v>
      </c>
      <c r="D12" s="159">
        <v>50</v>
      </c>
      <c r="E12" s="32" t="s">
        <v>29</v>
      </c>
      <c r="F12" s="48" t="s">
        <v>1224</v>
      </c>
    </row>
    <row r="13" spans="1:6" ht="15.5" x14ac:dyDescent="0.25">
      <c r="A13" s="16" t="s">
        <v>30</v>
      </c>
      <c r="B13" s="30" t="s">
        <v>31</v>
      </c>
      <c r="C13" s="31" t="s">
        <v>32</v>
      </c>
      <c r="D13" s="159">
        <f>100%*100%*D11</f>
        <v>8760</v>
      </c>
      <c r="E13" s="32" t="s">
        <v>25</v>
      </c>
      <c r="F13" s="29" t="s">
        <v>33</v>
      </c>
    </row>
    <row r="14" spans="1:6" ht="15.5" x14ac:dyDescent="0.25">
      <c r="A14" s="16" t="s">
        <v>1194</v>
      </c>
      <c r="B14" s="30" t="s">
        <v>1195</v>
      </c>
      <c r="C14" s="31"/>
      <c r="D14" s="159">
        <v>700</v>
      </c>
      <c r="E14" s="32" t="s">
        <v>16</v>
      </c>
      <c r="F14" s="29" t="s">
        <v>1196</v>
      </c>
    </row>
    <row r="15" spans="1:6" ht="31" x14ac:dyDescent="0.25">
      <c r="A15" s="16" t="s">
        <v>34</v>
      </c>
      <c r="B15" s="30" t="s">
        <v>35</v>
      </c>
      <c r="C15" s="31" t="s">
        <v>36</v>
      </c>
      <c r="D15" s="160">
        <f>D10/(D6*D11)*2000</f>
        <v>0.12</v>
      </c>
      <c r="E15" s="32" t="s">
        <v>0</v>
      </c>
      <c r="F15" s="29" t="s">
        <v>37</v>
      </c>
    </row>
    <row r="16" spans="1:6" ht="16" thickBot="1" x14ac:dyDescent="0.3">
      <c r="A16" s="34" t="s">
        <v>38</v>
      </c>
      <c r="B16" s="35" t="s">
        <v>39</v>
      </c>
      <c r="C16" s="36" t="s">
        <v>40</v>
      </c>
      <c r="D16" s="161">
        <f>(1-D12/100)*D15</f>
        <v>0.06</v>
      </c>
      <c r="E16" s="162" t="s">
        <v>0</v>
      </c>
      <c r="F16" s="29" t="s">
        <v>41</v>
      </c>
    </row>
    <row r="17" spans="1:6" ht="13" thickBot="1" x14ac:dyDescent="0.3">
      <c r="A17" s="20" t="s">
        <v>42</v>
      </c>
      <c r="B17" s="21"/>
      <c r="C17" s="22"/>
      <c r="D17" s="23"/>
      <c r="E17" s="24"/>
      <c r="F17" s="25"/>
    </row>
    <row r="18" spans="1:6" ht="15.5" x14ac:dyDescent="0.25">
      <c r="A18" s="12" t="s">
        <v>43</v>
      </c>
      <c r="B18" s="26" t="s">
        <v>44</v>
      </c>
      <c r="C18" s="37" t="s">
        <v>45</v>
      </c>
      <c r="D18" s="38">
        <f>8000/35.3147*C129/C121</f>
        <v>248.04464904035729</v>
      </c>
      <c r="E18" s="28" t="s">
        <v>46</v>
      </c>
      <c r="F18" s="29" t="s">
        <v>47</v>
      </c>
    </row>
    <row r="19" spans="1:6" ht="15.5" x14ac:dyDescent="0.25">
      <c r="A19" s="39" t="s">
        <v>48</v>
      </c>
      <c r="B19" s="30" t="s">
        <v>49</v>
      </c>
      <c r="C19" s="31" t="s">
        <v>50</v>
      </c>
      <c r="D19" s="163">
        <f>0.5631/'P035'!D23</f>
        <v>7.5019984012789767E-2</v>
      </c>
      <c r="E19" s="32" t="s">
        <v>51</v>
      </c>
      <c r="F19" s="33" t="s">
        <v>52</v>
      </c>
    </row>
    <row r="20" spans="1:6" ht="15.5" x14ac:dyDescent="0.25">
      <c r="A20" s="106" t="s">
        <v>53</v>
      </c>
      <c r="B20" s="35" t="s">
        <v>54</v>
      </c>
      <c r="C20" s="36"/>
      <c r="D20" s="164">
        <v>10.68</v>
      </c>
      <c r="E20" s="162" t="s">
        <v>55</v>
      </c>
      <c r="F20" s="165" t="s">
        <v>1210</v>
      </c>
    </row>
    <row r="21" spans="1:6" s="42" customFormat="1" ht="16" thickBot="1" x14ac:dyDescent="0.3">
      <c r="A21" s="34" t="s">
        <v>56</v>
      </c>
      <c r="B21" s="40" t="s">
        <v>57</v>
      </c>
      <c r="C21" s="41"/>
      <c r="D21" s="166">
        <v>8.5500000000000007E-2</v>
      </c>
      <c r="E21" s="162" t="s">
        <v>58</v>
      </c>
      <c r="F21" s="165" t="s">
        <v>1211</v>
      </c>
    </row>
    <row r="22" spans="1:6" s="42" customFormat="1" ht="13" thickBot="1" x14ac:dyDescent="0.3">
      <c r="A22" s="43" t="s">
        <v>59</v>
      </c>
      <c r="B22" s="44"/>
      <c r="C22" s="45"/>
      <c r="D22" s="23"/>
      <c r="E22" s="24"/>
      <c r="F22" s="25"/>
    </row>
    <row r="23" spans="1:6" s="42" customFormat="1" ht="15.5" x14ac:dyDescent="0.25">
      <c r="A23" s="12" t="s">
        <v>60</v>
      </c>
      <c r="B23" s="46" t="s">
        <v>61</v>
      </c>
      <c r="C23" s="47"/>
      <c r="D23" s="167">
        <f>0.9*8.34</f>
        <v>7.5060000000000002</v>
      </c>
      <c r="E23" s="28" t="s">
        <v>62</v>
      </c>
      <c r="F23" s="48" t="s">
        <v>63</v>
      </c>
    </row>
    <row r="24" spans="1:6" s="42" customFormat="1" ht="15.5" x14ac:dyDescent="0.25">
      <c r="A24" s="49" t="s">
        <v>64</v>
      </c>
      <c r="B24" s="50" t="s">
        <v>65</v>
      </c>
      <c r="C24" s="51"/>
      <c r="D24" s="163">
        <v>17.03</v>
      </c>
      <c r="E24" s="52" t="s">
        <v>66</v>
      </c>
      <c r="F24" s="53" t="s">
        <v>67</v>
      </c>
    </row>
    <row r="25" spans="1:6" s="42" customFormat="1" ht="15.5" x14ac:dyDescent="0.25">
      <c r="A25" s="54" t="s">
        <v>68</v>
      </c>
      <c r="B25" s="50" t="s">
        <v>69</v>
      </c>
      <c r="C25" s="51"/>
      <c r="D25" s="163">
        <v>46.01</v>
      </c>
      <c r="E25" s="52" t="s">
        <v>66</v>
      </c>
      <c r="F25" s="53"/>
    </row>
    <row r="26" spans="1:6" s="42" customFormat="1" ht="28" x14ac:dyDescent="0.25">
      <c r="A26" s="16" t="s">
        <v>70</v>
      </c>
      <c r="B26" s="50" t="s">
        <v>71</v>
      </c>
      <c r="C26" s="51"/>
      <c r="D26" s="55">
        <v>1</v>
      </c>
      <c r="E26" s="32" t="s">
        <v>72</v>
      </c>
      <c r="F26" s="53" t="s">
        <v>67</v>
      </c>
    </row>
    <row r="27" spans="1:6" s="42" customFormat="1" ht="28" x14ac:dyDescent="0.25">
      <c r="A27" s="16" t="s">
        <v>73</v>
      </c>
      <c r="B27" s="50" t="s">
        <v>74</v>
      </c>
      <c r="C27" s="56"/>
      <c r="D27" s="57">
        <v>1.05</v>
      </c>
      <c r="E27" s="32" t="s">
        <v>75</v>
      </c>
      <c r="F27" s="53" t="s">
        <v>76</v>
      </c>
    </row>
    <row r="28" spans="1:6" s="42" customFormat="1" ht="15.5" x14ac:dyDescent="0.25">
      <c r="A28" s="16" t="s">
        <v>77</v>
      </c>
      <c r="B28" s="50" t="s">
        <v>78</v>
      </c>
      <c r="C28" s="51"/>
      <c r="D28" s="55">
        <v>7</v>
      </c>
      <c r="E28" s="32" t="s">
        <v>79</v>
      </c>
      <c r="F28" s="53" t="s">
        <v>80</v>
      </c>
    </row>
    <row r="29" spans="1:6" s="42" customFormat="1" ht="16" thickBot="1" x14ac:dyDescent="0.3">
      <c r="A29" s="58" t="s">
        <v>81</v>
      </c>
      <c r="B29" s="59" t="s">
        <v>82</v>
      </c>
      <c r="C29" s="60"/>
      <c r="D29" s="61">
        <v>9</v>
      </c>
      <c r="E29" s="62" t="s">
        <v>79</v>
      </c>
      <c r="F29" s="63" t="s">
        <v>80</v>
      </c>
    </row>
    <row r="30" spans="1:6" s="42" customFormat="1" ht="13" thickBot="1" x14ac:dyDescent="0.3">
      <c r="A30" s="43" t="s">
        <v>83</v>
      </c>
      <c r="B30" s="44"/>
      <c r="C30" s="45"/>
      <c r="D30" s="23"/>
      <c r="E30" s="24"/>
      <c r="F30" s="25"/>
    </row>
    <row r="31" spans="1:6" s="42" customFormat="1" ht="15.5" x14ac:dyDescent="0.25">
      <c r="A31" s="12" t="s">
        <v>84</v>
      </c>
      <c r="B31" s="46" t="s">
        <v>85</v>
      </c>
      <c r="C31" s="47"/>
      <c r="D31" s="64">
        <v>0</v>
      </c>
      <c r="E31" s="28" t="s">
        <v>86</v>
      </c>
      <c r="F31" s="48" t="s">
        <v>87</v>
      </c>
    </row>
    <row r="32" spans="1:6" s="42" customFormat="1" ht="15.5" x14ac:dyDescent="0.25">
      <c r="A32" s="16" t="s">
        <v>88</v>
      </c>
      <c r="B32" s="50" t="s">
        <v>89</v>
      </c>
      <c r="C32" s="51"/>
      <c r="D32" s="168">
        <v>3.1</v>
      </c>
      <c r="E32" s="32" t="s">
        <v>79</v>
      </c>
      <c r="F32" s="53" t="s">
        <v>80</v>
      </c>
    </row>
    <row r="33" spans="1:6" s="42" customFormat="1" ht="15.5" x14ac:dyDescent="0.25">
      <c r="A33" s="16" t="s">
        <v>90</v>
      </c>
      <c r="B33" s="50" t="s">
        <v>91</v>
      </c>
      <c r="C33" s="51"/>
      <c r="D33" s="55">
        <v>1</v>
      </c>
      <c r="E33" s="32" t="s">
        <v>92</v>
      </c>
      <c r="F33" s="53" t="s">
        <v>87</v>
      </c>
    </row>
    <row r="34" spans="1:6" s="42" customFormat="1" x14ac:dyDescent="0.25">
      <c r="A34" s="16" t="s">
        <v>93</v>
      </c>
      <c r="B34" s="50" t="s">
        <v>94</v>
      </c>
      <c r="C34" s="51"/>
      <c r="D34" s="55">
        <v>2</v>
      </c>
      <c r="E34" s="32" t="s">
        <v>95</v>
      </c>
      <c r="F34" s="53" t="s">
        <v>96</v>
      </c>
    </row>
    <row r="35" spans="1:6" s="42" customFormat="1" ht="15.5" x14ac:dyDescent="0.25">
      <c r="A35" s="16" t="s">
        <v>97</v>
      </c>
      <c r="B35" s="50" t="s">
        <v>98</v>
      </c>
      <c r="C35" s="51"/>
      <c r="D35" s="55">
        <v>3</v>
      </c>
      <c r="E35" s="32" t="s">
        <v>99</v>
      </c>
      <c r="F35" s="53" t="s">
        <v>100</v>
      </c>
    </row>
    <row r="36" spans="1:6" s="42" customFormat="1" ht="15.5" x14ac:dyDescent="0.25">
      <c r="A36" s="16" t="s">
        <v>101</v>
      </c>
      <c r="B36" s="50" t="s">
        <v>102</v>
      </c>
      <c r="C36" s="51"/>
      <c r="D36" s="55">
        <v>1</v>
      </c>
      <c r="E36" s="32" t="s">
        <v>99</v>
      </c>
      <c r="F36" s="53" t="s">
        <v>100</v>
      </c>
    </row>
    <row r="37" spans="1:6" s="42" customFormat="1" ht="25" x14ac:dyDescent="0.25">
      <c r="A37" s="16" t="s">
        <v>103</v>
      </c>
      <c r="B37" s="50" t="s">
        <v>104</v>
      </c>
      <c r="C37" s="51"/>
      <c r="D37" s="55">
        <v>20000</v>
      </c>
      <c r="E37" s="32" t="s">
        <v>105</v>
      </c>
      <c r="F37" s="53" t="s">
        <v>106</v>
      </c>
    </row>
    <row r="38" spans="1:6" s="42" customFormat="1" ht="37.5" x14ac:dyDescent="0.25">
      <c r="A38" s="16" t="s">
        <v>107</v>
      </c>
      <c r="B38" s="50" t="s">
        <v>108</v>
      </c>
      <c r="C38" s="51" t="s">
        <v>109</v>
      </c>
      <c r="D38" s="65">
        <f>(D15-D16)/D15*100</f>
        <v>50</v>
      </c>
      <c r="E38" s="52" t="s">
        <v>29</v>
      </c>
      <c r="F38" s="53" t="s">
        <v>110</v>
      </c>
    </row>
    <row r="39" spans="1:6" s="42" customFormat="1" ht="28" x14ac:dyDescent="0.25">
      <c r="A39" s="16" t="s">
        <v>111</v>
      </c>
      <c r="B39" s="50" t="s">
        <v>112</v>
      </c>
      <c r="C39" s="51" t="s">
        <v>113</v>
      </c>
      <c r="D39" s="65">
        <f>D9/(16*60)</f>
        <v>140.43960437710436</v>
      </c>
      <c r="E39" s="52" t="s">
        <v>114</v>
      </c>
      <c r="F39" s="53" t="s">
        <v>115</v>
      </c>
    </row>
    <row r="40" spans="1:6" s="42" customFormat="1" ht="31" x14ac:dyDescent="0.25">
      <c r="A40" s="16" t="s">
        <v>116</v>
      </c>
      <c r="B40" s="50" t="s">
        <v>117</v>
      </c>
      <c r="C40" s="51" t="s">
        <v>118</v>
      </c>
      <c r="D40" s="55">
        <f>D39*1.15</f>
        <v>161.50554503366999</v>
      </c>
      <c r="E40" s="52" t="s">
        <v>114</v>
      </c>
      <c r="F40" s="53" t="s">
        <v>119</v>
      </c>
    </row>
    <row r="41" spans="1:6" s="42" customFormat="1" ht="26.5" x14ac:dyDescent="0.25">
      <c r="A41" s="16" t="s">
        <v>120</v>
      </c>
      <c r="B41" s="50" t="s">
        <v>121</v>
      </c>
      <c r="C41" s="51" t="s">
        <v>122</v>
      </c>
      <c r="D41" s="57">
        <f>15.16-(0.03937*D7)+(0.0000274*D7^2)</f>
        <v>1.9209999999999994</v>
      </c>
      <c r="E41" s="52" t="s">
        <v>16</v>
      </c>
      <c r="F41" s="53" t="s">
        <v>123</v>
      </c>
    </row>
    <row r="42" spans="1:6" s="42" customFormat="1" ht="15.5" x14ac:dyDescent="0.25">
      <c r="A42" s="16" t="s">
        <v>124</v>
      </c>
      <c r="B42" s="50" t="s">
        <v>125</v>
      </c>
      <c r="C42" s="51" t="s">
        <v>126</v>
      </c>
      <c r="D42" s="57">
        <f>1.2835-(0.0567*D34)</f>
        <v>1.1701000000000001</v>
      </c>
      <c r="E42" s="52"/>
      <c r="F42" s="53" t="s">
        <v>127</v>
      </c>
    </row>
    <row r="43" spans="1:6" s="42" customFormat="1" ht="15.5" x14ac:dyDescent="0.25">
      <c r="A43" s="16" t="s">
        <v>128</v>
      </c>
      <c r="B43" s="50" t="s">
        <v>129</v>
      </c>
      <c r="C43" s="51" t="s">
        <v>130</v>
      </c>
      <c r="D43" s="57">
        <f>0.8524+(0.3208*D15)</f>
        <v>0.89089600000000002</v>
      </c>
      <c r="E43" s="52"/>
      <c r="F43" s="53" t="s">
        <v>131</v>
      </c>
    </row>
    <row r="44" spans="1:6" s="42" customFormat="1" ht="15.5" x14ac:dyDescent="0.25">
      <c r="A44" s="16" t="s">
        <v>132</v>
      </c>
      <c r="B44" s="50" t="s">
        <v>133</v>
      </c>
      <c r="C44" s="51" t="s">
        <v>134</v>
      </c>
      <c r="D44" s="57">
        <f>0.2869+1.058*D38/100</f>
        <v>0.81590000000000007</v>
      </c>
      <c r="E44" s="32"/>
      <c r="F44" s="53" t="s">
        <v>135</v>
      </c>
    </row>
    <row r="45" spans="1:6" s="42" customFormat="1" ht="31" x14ac:dyDescent="0.25">
      <c r="A45" s="16" t="s">
        <v>136</v>
      </c>
      <c r="B45" s="50" t="s">
        <v>137</v>
      </c>
      <c r="C45" s="51" t="s">
        <v>138</v>
      </c>
      <c r="D45" s="55">
        <f>2.81*D6*D44*D42*D43*D41/D33</f>
        <v>1358.9776594372602</v>
      </c>
      <c r="E45" s="32" t="s">
        <v>139</v>
      </c>
      <c r="F45" s="53" t="s">
        <v>140</v>
      </c>
    </row>
    <row r="46" spans="1:6" s="42" customFormat="1" ht="15.5" x14ac:dyDescent="0.25">
      <c r="A46" s="16" t="s">
        <v>141</v>
      </c>
      <c r="B46" s="50" t="s">
        <v>142</v>
      </c>
      <c r="C46" s="51" t="s">
        <v>143</v>
      </c>
      <c r="D46" s="55">
        <f>D45/(D47*D39)+1</f>
        <v>3.4191496149977976</v>
      </c>
      <c r="E46" s="32" t="s">
        <v>79</v>
      </c>
      <c r="F46" s="53" t="s">
        <v>144</v>
      </c>
    </row>
    <row r="47" spans="1:6" s="42" customFormat="1" ht="15.5" x14ac:dyDescent="0.25">
      <c r="A47" s="16" t="s">
        <v>145</v>
      </c>
      <c r="B47" s="50" t="s">
        <v>146</v>
      </c>
      <c r="C47" s="51" t="s">
        <v>147</v>
      </c>
      <c r="D47" s="55">
        <f>ROUNDUP(D45/(D32*D39),0)</f>
        <v>4</v>
      </c>
      <c r="E47" s="32" t="s">
        <v>86</v>
      </c>
      <c r="F47" s="53" t="s">
        <v>148</v>
      </c>
    </row>
    <row r="48" spans="1:6" s="42" customFormat="1" ht="15.5" x14ac:dyDescent="0.25">
      <c r="A48" s="16" t="s">
        <v>149</v>
      </c>
      <c r="B48" s="50" t="s">
        <v>150</v>
      </c>
      <c r="C48" s="51" t="s">
        <v>151</v>
      </c>
      <c r="D48" s="55">
        <f>D47+D31</f>
        <v>4</v>
      </c>
      <c r="E48" s="32" t="s">
        <v>86</v>
      </c>
      <c r="F48" s="53" t="s">
        <v>152</v>
      </c>
    </row>
    <row r="49" spans="1:6" s="42" customFormat="1" ht="15.5" x14ac:dyDescent="0.25">
      <c r="A49" s="16" t="s">
        <v>153</v>
      </c>
      <c r="B49" s="50" t="s">
        <v>154</v>
      </c>
      <c r="C49" s="51" t="s">
        <v>155</v>
      </c>
      <c r="D49" s="55">
        <f>D48*(D28+D46)+D29</f>
        <v>50.67659845999119</v>
      </c>
      <c r="E49" s="32" t="s">
        <v>79</v>
      </c>
      <c r="F49" s="53" t="s">
        <v>156</v>
      </c>
    </row>
    <row r="50" spans="1:6" s="42" customFormat="1" ht="31" x14ac:dyDescent="0.25">
      <c r="A50" s="16" t="s">
        <v>157</v>
      </c>
      <c r="B50" s="50" t="s">
        <v>158</v>
      </c>
      <c r="C50" s="51" t="s">
        <v>159</v>
      </c>
      <c r="D50" s="55">
        <f>D15*D6*D38/100*D27*D24/D25</f>
        <v>6.902313410128234</v>
      </c>
      <c r="E50" s="32" t="s">
        <v>160</v>
      </c>
      <c r="F50" s="53" t="s">
        <v>161</v>
      </c>
    </row>
    <row r="51" spans="1:6" s="42" customFormat="1" ht="16" thickBot="1" x14ac:dyDescent="0.3">
      <c r="A51" s="58" t="s">
        <v>162</v>
      </c>
      <c r="B51" s="59" t="s">
        <v>163</v>
      </c>
      <c r="C51" s="60" t="s">
        <v>164</v>
      </c>
      <c r="D51" s="61">
        <f>D50/0.19</f>
        <v>36.327965316464386</v>
      </c>
      <c r="E51" s="62" t="s">
        <v>160</v>
      </c>
      <c r="F51" s="63" t="s">
        <v>165</v>
      </c>
    </row>
    <row r="52" spans="1:6" s="42" customFormat="1" ht="13" thickBot="1" x14ac:dyDescent="0.3">
      <c r="A52" s="43" t="s">
        <v>166</v>
      </c>
      <c r="B52" s="44"/>
      <c r="C52" s="45"/>
      <c r="D52" s="23"/>
      <c r="E52" s="24"/>
      <c r="F52" s="25"/>
    </row>
    <row r="53" spans="1:6" s="42" customFormat="1" ht="15.5" x14ac:dyDescent="0.25">
      <c r="A53" s="12" t="s">
        <v>167</v>
      </c>
      <c r="B53" s="46" t="s">
        <v>168</v>
      </c>
      <c r="C53" s="47" t="s">
        <v>169</v>
      </c>
      <c r="D53" s="64">
        <f>D45*D18</f>
        <v>337087.1365888014</v>
      </c>
      <c r="E53" s="28" t="s">
        <v>170</v>
      </c>
      <c r="F53" s="48" t="s">
        <v>171</v>
      </c>
    </row>
    <row r="54" spans="1:6" s="42" customFormat="1" ht="28" x14ac:dyDescent="0.25">
      <c r="A54" s="16" t="s">
        <v>172</v>
      </c>
      <c r="B54" s="50" t="s">
        <v>173</v>
      </c>
      <c r="C54" s="51" t="s">
        <v>174</v>
      </c>
      <c r="D54" s="55">
        <f>(411*D50/D6-47.3)*C132/C109</f>
        <v>-68.557020655497382</v>
      </c>
      <c r="E54" s="32" t="s">
        <v>175</v>
      </c>
      <c r="F54" s="53" t="s">
        <v>176</v>
      </c>
    </row>
    <row r="55" spans="1:6" s="42" customFormat="1" ht="28" x14ac:dyDescent="0.25">
      <c r="A55" s="16" t="s">
        <v>177</v>
      </c>
      <c r="B55" s="50" t="s">
        <v>178</v>
      </c>
      <c r="C55" s="51" t="s">
        <v>179</v>
      </c>
      <c r="D55" s="55">
        <f>(6.12*D49-187.9)*C132/C109</f>
        <v>222.19890645238362</v>
      </c>
      <c r="E55" s="32" t="s">
        <v>175</v>
      </c>
      <c r="F55" s="53" t="s">
        <v>180</v>
      </c>
    </row>
    <row r="56" spans="1:6" s="42" customFormat="1" x14ac:dyDescent="0.25">
      <c r="A56" s="16" t="s">
        <v>181</v>
      </c>
      <c r="B56" s="50" t="s">
        <v>182</v>
      </c>
      <c r="C56" s="51" t="s">
        <v>183</v>
      </c>
      <c r="D56" s="55">
        <v>0</v>
      </c>
      <c r="E56" s="32" t="s">
        <v>175</v>
      </c>
      <c r="F56" s="53" t="s">
        <v>184</v>
      </c>
    </row>
    <row r="57" spans="1:6" s="42" customFormat="1" ht="15.5" x14ac:dyDescent="0.25">
      <c r="A57" s="16" t="s">
        <v>185</v>
      </c>
      <c r="B57" s="50" t="s">
        <v>186</v>
      </c>
      <c r="C57" s="68">
        <v>70000</v>
      </c>
      <c r="D57" s="55">
        <f>70000*C132/C120</f>
        <v>94960.720444529608</v>
      </c>
      <c r="E57" s="32" t="s">
        <v>170</v>
      </c>
      <c r="F57" s="53" t="s">
        <v>187</v>
      </c>
    </row>
    <row r="58" spans="1:6" s="42" customFormat="1" ht="28" x14ac:dyDescent="0.25">
      <c r="A58" s="34" t="s">
        <v>188</v>
      </c>
      <c r="B58" s="40" t="s">
        <v>189</v>
      </c>
      <c r="C58" s="108"/>
      <c r="D58" s="170">
        <f>Costs!D79*C132/C118</f>
        <v>221191.38517320139</v>
      </c>
      <c r="E58" s="162" t="s">
        <v>170</v>
      </c>
      <c r="F58" s="172" t="s">
        <v>190</v>
      </c>
    </row>
    <row r="59" spans="1:6" s="42" customFormat="1" ht="78" thickBot="1" x14ac:dyDescent="0.3">
      <c r="A59" s="173" t="s">
        <v>191</v>
      </c>
      <c r="B59" s="59" t="s">
        <v>192</v>
      </c>
      <c r="C59" s="60" t="s">
        <v>1197</v>
      </c>
      <c r="D59" s="174">
        <f>(D6*(3380*C132/C109+D55+D54+D56)*(3500/D6)^0.35+D53+D57+D58)</f>
        <v>5078439.1034309277</v>
      </c>
      <c r="E59" s="175" t="s">
        <v>170</v>
      </c>
      <c r="F59" s="63" t="s">
        <v>193</v>
      </c>
    </row>
    <row r="60" spans="1:6" s="42" customFormat="1" ht="13" thickBot="1" x14ac:dyDescent="0.3">
      <c r="A60" s="43" t="s">
        <v>194</v>
      </c>
      <c r="B60" s="44"/>
      <c r="C60" s="45"/>
      <c r="D60" s="23"/>
      <c r="E60" s="24"/>
      <c r="F60" s="25"/>
    </row>
    <row r="61" spans="1:6" s="42" customFormat="1" ht="15.5" x14ac:dyDescent="0.25">
      <c r="A61" s="69" t="s">
        <v>195</v>
      </c>
      <c r="B61" s="46" t="s">
        <v>196</v>
      </c>
      <c r="C61" s="47" t="s">
        <v>197</v>
      </c>
      <c r="D61" s="70">
        <v>20000</v>
      </c>
      <c r="E61" s="71" t="s">
        <v>170</v>
      </c>
      <c r="F61" s="48" t="s">
        <v>198</v>
      </c>
    </row>
    <row r="62" spans="1:6" s="42" customFormat="1" ht="15.5" x14ac:dyDescent="0.25">
      <c r="A62" s="16" t="s">
        <v>199</v>
      </c>
      <c r="B62" s="50" t="s">
        <v>200</v>
      </c>
      <c r="C62" s="51" t="s">
        <v>201</v>
      </c>
      <c r="D62" s="55">
        <f>0.05*D59</f>
        <v>253921.9551715464</v>
      </c>
      <c r="E62" s="32" t="s">
        <v>170</v>
      </c>
      <c r="F62" s="53" t="s">
        <v>202</v>
      </c>
    </row>
    <row r="63" spans="1:6" s="42" customFormat="1" ht="15.5" x14ac:dyDescent="0.25">
      <c r="A63" s="16" t="s">
        <v>203</v>
      </c>
      <c r="B63" s="50" t="s">
        <v>204</v>
      </c>
      <c r="C63" s="51" t="s">
        <v>205</v>
      </c>
      <c r="D63" s="55">
        <f>0.1*D59</f>
        <v>507843.91034309281</v>
      </c>
      <c r="E63" s="32" t="s">
        <v>170</v>
      </c>
      <c r="F63" s="53" t="s">
        <v>202</v>
      </c>
    </row>
    <row r="64" spans="1:6" s="42" customFormat="1" ht="15.5" x14ac:dyDescent="0.25">
      <c r="A64" s="16" t="s">
        <v>206</v>
      </c>
      <c r="B64" s="50" t="s">
        <v>207</v>
      </c>
      <c r="C64" s="67" t="s">
        <v>201</v>
      </c>
      <c r="D64" s="55">
        <f>0.05*D59</f>
        <v>253921.9551715464</v>
      </c>
      <c r="E64" s="32" t="s">
        <v>170</v>
      </c>
      <c r="F64" s="53" t="s">
        <v>202</v>
      </c>
    </row>
    <row r="65" spans="1:6" s="42" customFormat="1" ht="15.5" x14ac:dyDescent="0.25">
      <c r="A65" s="16" t="s">
        <v>208</v>
      </c>
      <c r="B65" s="50" t="s">
        <v>209</v>
      </c>
      <c r="C65" s="51" t="s">
        <v>210</v>
      </c>
      <c r="D65" s="55">
        <f>SUM(D61:D64)</f>
        <v>1035687.8206861857</v>
      </c>
      <c r="E65" s="32" t="s">
        <v>170</v>
      </c>
      <c r="F65" s="53" t="s">
        <v>171</v>
      </c>
    </row>
    <row r="66" spans="1:6" s="42" customFormat="1" ht="13" thickBot="1" x14ac:dyDescent="0.3">
      <c r="A66" s="16" t="s">
        <v>211</v>
      </c>
      <c r="B66" s="50" t="s">
        <v>212</v>
      </c>
      <c r="C66" s="68" t="s">
        <v>213</v>
      </c>
      <c r="D66" s="55">
        <f>0.15*(D59+D65)</f>
        <v>917119.03861756704</v>
      </c>
      <c r="E66" s="52" t="s">
        <v>170</v>
      </c>
      <c r="F66" s="53" t="s">
        <v>214</v>
      </c>
    </row>
    <row r="67" spans="1:6" s="42" customFormat="1" ht="13" thickBot="1" x14ac:dyDescent="0.3">
      <c r="A67" s="43" t="s">
        <v>215</v>
      </c>
      <c r="B67" s="44"/>
      <c r="C67" s="45"/>
      <c r="D67" s="23"/>
      <c r="E67" s="24"/>
      <c r="F67" s="25"/>
    </row>
    <row r="68" spans="1:6" s="42" customFormat="1" x14ac:dyDescent="0.25">
      <c r="A68" s="72" t="s">
        <v>216</v>
      </c>
      <c r="B68" s="73" t="s">
        <v>217</v>
      </c>
      <c r="C68" s="74" t="s">
        <v>218</v>
      </c>
      <c r="D68" s="75">
        <f>D59+D65+D66</f>
        <v>7031245.9627346806</v>
      </c>
      <c r="E68" s="76" t="s">
        <v>170</v>
      </c>
      <c r="F68" s="77" t="s">
        <v>219</v>
      </c>
    </row>
    <row r="69" spans="1:6" s="42" customFormat="1" x14ac:dyDescent="0.25">
      <c r="A69" s="16" t="s">
        <v>220</v>
      </c>
      <c r="B69" s="50" t="s">
        <v>221</v>
      </c>
      <c r="C69" s="51" t="s">
        <v>222</v>
      </c>
      <c r="D69" s="55">
        <f>0.02*D68</f>
        <v>140624.91925469361</v>
      </c>
      <c r="E69" s="52" t="s">
        <v>170</v>
      </c>
      <c r="F69" s="53" t="s">
        <v>202</v>
      </c>
    </row>
    <row r="70" spans="1:6" s="42" customFormat="1" ht="28" x14ac:dyDescent="0.25">
      <c r="A70" s="34" t="s">
        <v>223</v>
      </c>
      <c r="B70" s="40" t="s">
        <v>224</v>
      </c>
      <c r="C70" s="169" t="s">
        <v>225</v>
      </c>
      <c r="D70" s="170">
        <f>D19*D51*14*24</f>
        <v>915.70865475880203</v>
      </c>
      <c r="E70" s="171" t="s">
        <v>170</v>
      </c>
      <c r="F70" s="172" t="s">
        <v>226</v>
      </c>
    </row>
    <row r="71" spans="1:6" s="42" customFormat="1" ht="25.5" thickBot="1" x14ac:dyDescent="0.3">
      <c r="A71" s="173" t="s">
        <v>1212</v>
      </c>
      <c r="B71" s="59"/>
      <c r="C71" s="60" t="s">
        <v>1219</v>
      </c>
      <c r="D71" s="174">
        <f>SUM(D68:D70)*50%</f>
        <v>3586393.2953220662</v>
      </c>
      <c r="E71" s="175"/>
      <c r="F71" s="63" t="s">
        <v>1213</v>
      </c>
    </row>
    <row r="72" spans="1:6" s="42" customFormat="1" ht="13" thickBot="1" x14ac:dyDescent="0.3">
      <c r="A72" s="43" t="s">
        <v>215</v>
      </c>
      <c r="B72" s="78" t="s">
        <v>227</v>
      </c>
      <c r="C72" s="79" t="s">
        <v>228</v>
      </c>
      <c r="D72" s="80">
        <f>SUM(D68:D71)</f>
        <v>10759179.885966199</v>
      </c>
      <c r="E72" s="81" t="s">
        <v>170</v>
      </c>
      <c r="F72" s="82" t="s">
        <v>202</v>
      </c>
    </row>
    <row r="73" spans="1:6" s="42" customFormat="1" ht="13" thickBot="1" x14ac:dyDescent="0.3">
      <c r="A73" s="43" t="s">
        <v>229</v>
      </c>
      <c r="B73" s="44"/>
      <c r="C73" s="45"/>
      <c r="D73" s="23"/>
      <c r="E73" s="24"/>
      <c r="F73" s="25"/>
    </row>
    <row r="74" spans="1:6" s="42" customFormat="1" ht="13" thickBot="1" x14ac:dyDescent="0.3">
      <c r="A74" s="200" t="s">
        <v>230</v>
      </c>
      <c r="B74" s="201"/>
      <c r="C74" s="201"/>
      <c r="D74" s="201"/>
      <c r="E74" s="201"/>
      <c r="F74" s="202"/>
    </row>
    <row r="75" spans="1:6" s="42" customFormat="1" ht="28" x14ac:dyDescent="0.25">
      <c r="A75" s="12" t="s">
        <v>231</v>
      </c>
      <c r="B75" s="46" t="s">
        <v>232</v>
      </c>
      <c r="C75" s="47" t="s">
        <v>233</v>
      </c>
      <c r="D75" s="64">
        <f>D13/24*0.5*60*C132/C127</f>
        <v>14311.611593132729</v>
      </c>
      <c r="E75" s="28" t="s">
        <v>170</v>
      </c>
      <c r="F75" s="48" t="s">
        <v>234</v>
      </c>
    </row>
    <row r="76" spans="1:6" s="42" customFormat="1" ht="25" x14ac:dyDescent="0.25">
      <c r="A76" s="16" t="s">
        <v>235</v>
      </c>
      <c r="B76" s="50" t="s">
        <v>236</v>
      </c>
      <c r="C76" s="51" t="s">
        <v>237</v>
      </c>
      <c r="D76" s="55">
        <f>0.15*D75</f>
        <v>2146.7417389699094</v>
      </c>
      <c r="E76" s="32" t="s">
        <v>170</v>
      </c>
      <c r="F76" s="33" t="s">
        <v>238</v>
      </c>
    </row>
    <row r="77" spans="1:6" s="42" customFormat="1" ht="15.5" x14ac:dyDescent="0.25">
      <c r="A77" s="49" t="s">
        <v>239</v>
      </c>
      <c r="B77" s="50" t="s">
        <v>240</v>
      </c>
      <c r="C77" s="51" t="s">
        <v>241</v>
      </c>
      <c r="D77" s="182">
        <f>0.005*D72</f>
        <v>53795.899429830992</v>
      </c>
      <c r="E77" s="52" t="s">
        <v>170</v>
      </c>
      <c r="F77" s="53" t="s">
        <v>242</v>
      </c>
    </row>
    <row r="78" spans="1:6" s="42" customFormat="1" ht="15.5" x14ac:dyDescent="0.25">
      <c r="A78" s="49" t="s">
        <v>243</v>
      </c>
      <c r="B78" s="50" t="s">
        <v>244</v>
      </c>
      <c r="C78" s="51" t="s">
        <v>245</v>
      </c>
      <c r="D78" s="182">
        <f>D19*D51*D11</f>
        <v>23873.832784783055</v>
      </c>
      <c r="E78" s="52" t="s">
        <v>170</v>
      </c>
      <c r="F78" s="53" t="s">
        <v>246</v>
      </c>
    </row>
    <row r="79" spans="1:6" s="42" customFormat="1" ht="46.5" x14ac:dyDescent="0.25">
      <c r="A79" s="49" t="s">
        <v>247</v>
      </c>
      <c r="B79" s="50" t="s">
        <v>248</v>
      </c>
      <c r="C79" s="51" t="s">
        <v>249</v>
      </c>
      <c r="D79" s="182">
        <f>0.1*D6*1000*0.0056*(1*1)^0.43*D21*D13</f>
        <v>124150.92480000001</v>
      </c>
      <c r="E79" s="52" t="s">
        <v>170</v>
      </c>
      <c r="F79" s="53" t="s">
        <v>250</v>
      </c>
    </row>
    <row r="80" spans="1:6" s="42" customFormat="1" ht="37.5" x14ac:dyDescent="0.25">
      <c r="A80" s="49" t="s">
        <v>251</v>
      </c>
      <c r="B80" s="50" t="s">
        <v>252</v>
      </c>
      <c r="C80" s="51"/>
      <c r="D80" s="182">
        <f>Costs!D156*115%*C132/C118</f>
        <v>93926.167328097843</v>
      </c>
      <c r="E80" s="52" t="s">
        <v>170</v>
      </c>
      <c r="F80" s="53" t="s">
        <v>253</v>
      </c>
    </row>
    <row r="81" spans="1:6" s="42" customFormat="1" ht="28" x14ac:dyDescent="0.25">
      <c r="A81" s="49" t="s">
        <v>254</v>
      </c>
      <c r="B81" s="50" t="s">
        <v>255</v>
      </c>
      <c r="C81" s="51" t="s">
        <v>256</v>
      </c>
      <c r="D81" s="182">
        <f>D33*D45*D18/D47</f>
        <v>84271.784147200349</v>
      </c>
      <c r="E81" s="52" t="s">
        <v>170</v>
      </c>
      <c r="F81" s="53" t="s">
        <v>257</v>
      </c>
    </row>
    <row r="82" spans="1:6" s="42" customFormat="1" ht="14" x14ac:dyDescent="0.25">
      <c r="A82" s="49" t="s">
        <v>258</v>
      </c>
      <c r="B82" s="50" t="s">
        <v>259</v>
      </c>
      <c r="C82" s="51" t="s">
        <v>260</v>
      </c>
      <c r="D82" s="183">
        <f>D95/100*(1/((1+D95/100)^(D37/D13)-1))</f>
        <v>0.43776827960885012</v>
      </c>
      <c r="E82" s="52"/>
      <c r="F82" s="53" t="s">
        <v>261</v>
      </c>
    </row>
    <row r="83" spans="1:6" s="42" customFormat="1" ht="15.5" x14ac:dyDescent="0.25">
      <c r="A83" s="49" t="s">
        <v>262</v>
      </c>
      <c r="B83" s="50" t="s">
        <v>263</v>
      </c>
      <c r="C83" s="51" t="s">
        <v>264</v>
      </c>
      <c r="D83" s="182">
        <f>D81*D82</f>
        <v>36891.513965688267</v>
      </c>
      <c r="E83" s="52" t="s">
        <v>170</v>
      </c>
      <c r="F83" s="53" t="s">
        <v>265</v>
      </c>
    </row>
    <row r="84" spans="1:6" s="42" customFormat="1" ht="15.5" x14ac:dyDescent="0.25">
      <c r="A84" s="49" t="s">
        <v>266</v>
      </c>
      <c r="B84" s="50" t="s">
        <v>267</v>
      </c>
      <c r="C84" s="51" t="s">
        <v>268</v>
      </c>
      <c r="D84" s="182">
        <f>D88*D20</f>
        <v>0</v>
      </c>
      <c r="E84" s="52"/>
      <c r="F84" s="53"/>
    </row>
    <row r="85" spans="1:6" s="42" customFormat="1" ht="26.5" x14ac:dyDescent="0.25">
      <c r="A85" s="184" t="s">
        <v>269</v>
      </c>
      <c r="B85" s="176" t="s">
        <v>270</v>
      </c>
      <c r="C85" s="177" t="s">
        <v>271</v>
      </c>
      <c r="D85" s="185">
        <f>14.7/(D7+460)/10.731577089016</f>
        <v>1.0071980511116888E-3</v>
      </c>
      <c r="E85" s="186" t="s">
        <v>272</v>
      </c>
      <c r="F85" s="178" t="s">
        <v>273</v>
      </c>
    </row>
    <row r="86" spans="1:6" s="42" customFormat="1" ht="25" x14ac:dyDescent="0.25">
      <c r="A86" s="184" t="s">
        <v>274</v>
      </c>
      <c r="B86" s="176" t="s">
        <v>275</v>
      </c>
      <c r="C86" s="177" t="s">
        <v>276</v>
      </c>
      <c r="D86" s="187">
        <f>FORECAST(D7,'Cp Air'!M6:M34,'Cp Air'!D6:D34)*29</f>
        <v>7.6853063363922125</v>
      </c>
      <c r="E86" s="186" t="s">
        <v>277</v>
      </c>
      <c r="F86" s="178" t="s">
        <v>278</v>
      </c>
    </row>
    <row r="87" spans="1:6" s="42" customFormat="1" ht="31" x14ac:dyDescent="0.25">
      <c r="A87" s="184" t="s">
        <v>279</v>
      </c>
      <c r="B87" s="176" t="s">
        <v>280</v>
      </c>
      <c r="C87" s="177" t="s">
        <v>1198</v>
      </c>
      <c r="D87" s="187">
        <f>(460+68)/(460+D7)*D85*D86*(D14-D7)*120%</f>
        <v>-0.72124417021820642</v>
      </c>
      <c r="E87" s="186" t="s">
        <v>281</v>
      </c>
      <c r="F87" s="178" t="s">
        <v>1199</v>
      </c>
    </row>
    <row r="88" spans="1:6" s="42" customFormat="1" ht="31.5" thickBot="1" x14ac:dyDescent="0.3">
      <c r="A88" s="188" t="s">
        <v>282</v>
      </c>
      <c r="B88" s="179" t="s">
        <v>283</v>
      </c>
      <c r="C88" s="180" t="s">
        <v>1200</v>
      </c>
      <c r="D88" s="189">
        <f>IF(D8*D87/1020000*60*D13&lt;0,0,D8*D87/1020000*60*D13)</f>
        <v>0</v>
      </c>
      <c r="E88" s="190" t="s">
        <v>284</v>
      </c>
      <c r="F88" s="181" t="s">
        <v>285</v>
      </c>
    </row>
    <row r="89" spans="1:6" s="42" customFormat="1" ht="47" thickBot="1" x14ac:dyDescent="0.3">
      <c r="A89" s="83" t="s">
        <v>230</v>
      </c>
      <c r="B89" s="84" t="s">
        <v>286</v>
      </c>
      <c r="C89" s="85" t="s">
        <v>287</v>
      </c>
      <c r="D89" s="86">
        <f>SUM(D83:D84,D75:D81)</f>
        <v>433368.47578770318</v>
      </c>
      <c r="E89" s="87" t="s">
        <v>288</v>
      </c>
      <c r="F89" s="88" t="s">
        <v>289</v>
      </c>
    </row>
    <row r="90" spans="1:6" s="66" customFormat="1" ht="13" thickBot="1" x14ac:dyDescent="0.3">
      <c r="A90" s="200" t="s">
        <v>290</v>
      </c>
      <c r="B90" s="201"/>
      <c r="C90" s="201"/>
      <c r="D90" s="201"/>
      <c r="E90" s="201"/>
      <c r="F90" s="202"/>
    </row>
    <row r="91" spans="1:6" ht="15.5" x14ac:dyDescent="0.25">
      <c r="A91" s="12" t="s">
        <v>291</v>
      </c>
      <c r="B91" s="46" t="s">
        <v>292</v>
      </c>
      <c r="C91" s="47" t="s">
        <v>293</v>
      </c>
      <c r="D91" s="64">
        <f>0.03*D75+0.4*D77</f>
        <v>21947.70811972638</v>
      </c>
      <c r="E91" s="28" t="s">
        <v>288</v>
      </c>
      <c r="F91" s="48" t="s">
        <v>294</v>
      </c>
    </row>
    <row r="92" spans="1:6" s="66" customFormat="1" ht="16" thickBot="1" x14ac:dyDescent="0.3">
      <c r="A92" s="69" t="s">
        <v>295</v>
      </c>
      <c r="B92" s="46" t="s">
        <v>296</v>
      </c>
      <c r="C92" s="47" t="s">
        <v>297</v>
      </c>
      <c r="D92" s="70">
        <f>0.6*SUM(D75:D77)</f>
        <v>42152.551657160177</v>
      </c>
      <c r="E92" s="71" t="s">
        <v>288</v>
      </c>
      <c r="F92" s="48" t="s">
        <v>298</v>
      </c>
    </row>
    <row r="93" spans="1:6" ht="16" thickBot="1" x14ac:dyDescent="0.3">
      <c r="A93" s="83" t="s">
        <v>290</v>
      </c>
      <c r="B93" s="84" t="s">
        <v>299</v>
      </c>
      <c r="C93" s="85" t="s">
        <v>300</v>
      </c>
      <c r="D93" s="86">
        <f>SUM(D91:D92)</f>
        <v>64100.259776886553</v>
      </c>
      <c r="E93" s="87" t="s">
        <v>170</v>
      </c>
      <c r="F93" s="88" t="s">
        <v>301</v>
      </c>
    </row>
    <row r="94" spans="1:6" ht="13" thickBot="1" x14ac:dyDescent="0.3">
      <c r="A94" s="200" t="s">
        <v>302</v>
      </c>
      <c r="B94" s="201"/>
      <c r="C94" s="201"/>
      <c r="D94" s="201"/>
      <c r="E94" s="201"/>
      <c r="F94" s="202"/>
    </row>
    <row r="95" spans="1:6" x14ac:dyDescent="0.25">
      <c r="A95" s="49" t="s">
        <v>303</v>
      </c>
      <c r="B95" s="50" t="s">
        <v>304</v>
      </c>
      <c r="C95" s="51"/>
      <c r="D95" s="198">
        <v>8.2500000000000004E-2</v>
      </c>
      <c r="E95" s="52"/>
      <c r="F95" s="197" t="s">
        <v>1223</v>
      </c>
    </row>
    <row r="96" spans="1:6" x14ac:dyDescent="0.25">
      <c r="A96" s="49" t="s">
        <v>305</v>
      </c>
      <c r="B96" s="50" t="s">
        <v>306</v>
      </c>
      <c r="C96" s="51"/>
      <c r="D96" s="191">
        <v>20</v>
      </c>
      <c r="E96" s="52" t="s">
        <v>307</v>
      </c>
      <c r="F96" s="53" t="s">
        <v>308</v>
      </c>
    </row>
    <row r="97" spans="1:6" ht="14.5" thickBot="1" x14ac:dyDescent="0.3">
      <c r="A97" s="16" t="s">
        <v>309</v>
      </c>
      <c r="B97" s="50" t="s">
        <v>310</v>
      </c>
      <c r="C97" s="51" t="s">
        <v>311</v>
      </c>
      <c r="D97" s="89">
        <f>D95*(1+D95)^D96/((1+D95)^D96-1)</f>
        <v>0.10375437372961858</v>
      </c>
      <c r="E97" s="32"/>
      <c r="F97" s="53" t="s">
        <v>312</v>
      </c>
    </row>
    <row r="98" spans="1:6" ht="16" thickBot="1" x14ac:dyDescent="0.3">
      <c r="A98" s="83" t="s">
        <v>313</v>
      </c>
      <c r="B98" s="84" t="s">
        <v>314</v>
      </c>
      <c r="C98" s="85" t="s">
        <v>315</v>
      </c>
      <c r="D98" s="86">
        <f>D97*D72</f>
        <v>1116311.970912732</v>
      </c>
      <c r="E98" s="87" t="s">
        <v>288</v>
      </c>
      <c r="F98" s="88" t="s">
        <v>316</v>
      </c>
    </row>
    <row r="99" spans="1:6" ht="13" thickBot="1" x14ac:dyDescent="0.3">
      <c r="A99" s="43" t="s">
        <v>229</v>
      </c>
      <c r="B99" s="78" t="s">
        <v>317</v>
      </c>
      <c r="C99" s="79" t="s">
        <v>318</v>
      </c>
      <c r="D99" s="80">
        <f>D89+D93+D98</f>
        <v>1613780.7064773217</v>
      </c>
      <c r="E99" s="81" t="s">
        <v>288</v>
      </c>
      <c r="F99" s="82" t="s">
        <v>319</v>
      </c>
    </row>
    <row r="100" spans="1:6" ht="13" thickBot="1" x14ac:dyDescent="0.3">
      <c r="A100" s="43" t="s">
        <v>320</v>
      </c>
      <c r="B100" s="44"/>
      <c r="C100" s="45"/>
      <c r="D100" s="23"/>
      <c r="E100" s="24"/>
      <c r="F100" s="25"/>
    </row>
    <row r="101" spans="1:6" ht="28" x14ac:dyDescent="0.25">
      <c r="A101" s="72" t="s">
        <v>1201</v>
      </c>
      <c r="B101" s="73" t="s">
        <v>1202</v>
      </c>
      <c r="C101" s="74" t="s">
        <v>1203</v>
      </c>
      <c r="D101" s="199">
        <f>D88/10^3*100/2000</f>
        <v>0</v>
      </c>
      <c r="E101" s="91" t="s">
        <v>324</v>
      </c>
      <c r="F101" s="77" t="s">
        <v>1204</v>
      </c>
    </row>
    <row r="102" spans="1:6" ht="28.5" thickBot="1" x14ac:dyDescent="0.3">
      <c r="A102" s="72" t="s">
        <v>321</v>
      </c>
      <c r="B102" s="73" t="s">
        <v>322</v>
      </c>
      <c r="C102" s="74" t="s">
        <v>323</v>
      </c>
      <c r="D102" s="90">
        <f>(D15)*D38/100*D6*D11/2000</f>
        <v>77.788799999999995</v>
      </c>
      <c r="E102" s="91" t="s">
        <v>324</v>
      </c>
      <c r="F102" s="77" t="s">
        <v>1205</v>
      </c>
    </row>
    <row r="103" spans="1:6" s="92" customFormat="1" ht="16" thickBot="1" x14ac:dyDescent="0.3">
      <c r="A103" s="43" t="s">
        <v>325</v>
      </c>
      <c r="B103" s="78"/>
      <c r="C103" s="79" t="s">
        <v>326</v>
      </c>
      <c r="D103" s="80">
        <f>D99/D102</f>
        <v>20745.669125598051</v>
      </c>
      <c r="E103" s="81" t="s">
        <v>327</v>
      </c>
      <c r="F103" s="82" t="s">
        <v>328</v>
      </c>
    </row>
    <row r="104" spans="1:6" s="97" customFormat="1" ht="10.5" thickBot="1" x14ac:dyDescent="0.25">
      <c r="A104" s="105" t="s">
        <v>329</v>
      </c>
      <c r="B104" s="93"/>
      <c r="C104" s="94"/>
      <c r="D104" s="95"/>
      <c r="E104" s="96"/>
    </row>
    <row r="105" spans="1:6" s="97" customFormat="1" ht="10.5" thickBot="1" x14ac:dyDescent="0.25">
      <c r="B105" s="98" t="s">
        <v>330</v>
      </c>
      <c r="C105" s="99" t="s">
        <v>331</v>
      </c>
      <c r="D105" s="95"/>
      <c r="E105" s="96"/>
    </row>
    <row r="106" spans="1:6" s="97" customFormat="1" ht="10" x14ac:dyDescent="0.2">
      <c r="B106" s="100">
        <v>1995</v>
      </c>
      <c r="C106" s="101">
        <v>381.1</v>
      </c>
      <c r="D106" s="95"/>
      <c r="E106" s="96"/>
    </row>
    <row r="107" spans="1:6" s="97" customFormat="1" ht="10" x14ac:dyDescent="0.2">
      <c r="B107" s="102">
        <v>1996</v>
      </c>
      <c r="C107" s="103">
        <v>381.7</v>
      </c>
      <c r="D107" s="95"/>
      <c r="E107" s="104"/>
    </row>
    <row r="108" spans="1:6" s="97" customFormat="1" ht="10" x14ac:dyDescent="0.2">
      <c r="B108" s="102">
        <v>1997</v>
      </c>
      <c r="C108" s="103">
        <v>386.5</v>
      </c>
      <c r="D108" s="95"/>
      <c r="E108" s="96"/>
    </row>
    <row r="109" spans="1:6" s="97" customFormat="1" ht="10" x14ac:dyDescent="0.2">
      <c r="B109" s="102">
        <v>1998</v>
      </c>
      <c r="C109" s="103">
        <v>389.5</v>
      </c>
      <c r="D109" s="95"/>
      <c r="E109" s="96"/>
    </row>
    <row r="110" spans="1:6" s="97" customFormat="1" ht="10" x14ac:dyDescent="0.2">
      <c r="B110" s="102">
        <v>1999</v>
      </c>
      <c r="C110" s="103">
        <v>391.8</v>
      </c>
      <c r="D110" s="95"/>
      <c r="E110" s="96"/>
    </row>
    <row r="111" spans="1:6" s="97" customFormat="1" ht="10" x14ac:dyDescent="0.2">
      <c r="B111" s="102">
        <v>2000</v>
      </c>
      <c r="C111" s="103">
        <v>394.1</v>
      </c>
      <c r="D111" s="95"/>
      <c r="E111" s="96"/>
    </row>
    <row r="112" spans="1:6" s="97" customFormat="1" ht="10" x14ac:dyDescent="0.2">
      <c r="B112" s="102">
        <v>2001</v>
      </c>
      <c r="C112" s="103">
        <v>394.3</v>
      </c>
      <c r="D112" s="95"/>
      <c r="E112" s="96"/>
    </row>
    <row r="113" spans="2:5" s="97" customFormat="1" ht="10" x14ac:dyDescent="0.2">
      <c r="B113" s="102">
        <v>2002</v>
      </c>
      <c r="C113" s="103">
        <v>395.6</v>
      </c>
      <c r="D113" s="95"/>
      <c r="E113" s="96"/>
    </row>
    <row r="114" spans="2:5" s="97" customFormat="1" ht="10" x14ac:dyDescent="0.2">
      <c r="B114" s="102">
        <v>2003</v>
      </c>
      <c r="C114" s="103">
        <v>402</v>
      </c>
      <c r="D114" s="95"/>
      <c r="E114" s="96"/>
    </row>
    <row r="115" spans="2:5" s="97" customFormat="1" ht="10" x14ac:dyDescent="0.2">
      <c r="B115" s="102">
        <v>2004</v>
      </c>
      <c r="C115" s="103">
        <v>444.2</v>
      </c>
      <c r="D115" s="95"/>
      <c r="E115" s="96"/>
    </row>
    <row r="116" spans="2:5" s="97" customFormat="1" ht="10" x14ac:dyDescent="0.2">
      <c r="B116" s="102">
        <v>2005</v>
      </c>
      <c r="C116" s="103">
        <v>468.2</v>
      </c>
      <c r="D116" s="95"/>
      <c r="E116" s="96"/>
    </row>
    <row r="117" spans="2:5" s="97" customFormat="1" ht="10" x14ac:dyDescent="0.2">
      <c r="B117" s="102">
        <v>2006</v>
      </c>
      <c r="C117" s="103">
        <v>499.6</v>
      </c>
      <c r="D117" s="95"/>
      <c r="E117" s="96"/>
    </row>
    <row r="118" spans="2:5" s="97" customFormat="1" ht="10" x14ac:dyDescent="0.2">
      <c r="B118" s="102">
        <v>2007</v>
      </c>
      <c r="C118" s="103">
        <v>525.4</v>
      </c>
      <c r="D118" s="95"/>
      <c r="E118" s="96"/>
    </row>
    <row r="119" spans="2:5" s="97" customFormat="1" ht="10" x14ac:dyDescent="0.2">
      <c r="B119" s="102">
        <v>2008</v>
      </c>
      <c r="C119" s="103">
        <v>575.4</v>
      </c>
      <c r="D119" s="95"/>
      <c r="E119" s="96"/>
    </row>
    <row r="120" spans="2:5" s="97" customFormat="1" ht="10" x14ac:dyDescent="0.2">
      <c r="B120" s="102">
        <v>2009</v>
      </c>
      <c r="C120" s="103">
        <v>521.9</v>
      </c>
      <c r="D120" s="95"/>
      <c r="E120" s="96"/>
    </row>
    <row r="121" spans="2:5" s="97" customFormat="1" ht="10" x14ac:dyDescent="0.2">
      <c r="B121" s="102">
        <v>2010</v>
      </c>
      <c r="C121" s="103">
        <v>550.79999999999995</v>
      </c>
      <c r="D121" s="95"/>
      <c r="E121" s="96"/>
    </row>
    <row r="122" spans="2:5" s="97" customFormat="1" ht="10" x14ac:dyDescent="0.2">
      <c r="B122" s="102">
        <v>2011</v>
      </c>
      <c r="C122" s="103">
        <v>593.20000000000005</v>
      </c>
      <c r="D122" s="95"/>
      <c r="E122" s="96"/>
    </row>
    <row r="123" spans="2:5" s="97" customFormat="1" ht="10" x14ac:dyDescent="0.2">
      <c r="B123" s="102">
        <v>2012</v>
      </c>
      <c r="C123" s="103">
        <v>584.6</v>
      </c>
      <c r="D123" s="95"/>
      <c r="E123" s="96"/>
    </row>
    <row r="124" spans="2:5" s="97" customFormat="1" ht="10" x14ac:dyDescent="0.2">
      <c r="B124" s="102">
        <v>2013</v>
      </c>
      <c r="C124" s="103">
        <v>567.29999999999995</v>
      </c>
      <c r="D124" s="95"/>
      <c r="E124" s="96"/>
    </row>
    <row r="125" spans="2:5" s="97" customFormat="1" ht="10" x14ac:dyDescent="0.2">
      <c r="B125" s="102">
        <v>2014</v>
      </c>
      <c r="C125" s="103">
        <v>576.1</v>
      </c>
      <c r="D125" s="95"/>
      <c r="E125" s="96"/>
    </row>
    <row r="126" spans="2:5" s="97" customFormat="1" ht="10" x14ac:dyDescent="0.2">
      <c r="B126" s="102">
        <v>2015</v>
      </c>
      <c r="C126" s="103">
        <v>556.79999999999995</v>
      </c>
      <c r="D126" s="95"/>
      <c r="E126" s="96"/>
    </row>
    <row r="127" spans="2:5" s="97" customFormat="1" ht="10" x14ac:dyDescent="0.2">
      <c r="B127" s="102">
        <v>2016</v>
      </c>
      <c r="C127" s="103">
        <v>541.70000000000005</v>
      </c>
      <c r="D127" s="95"/>
      <c r="E127" s="96"/>
    </row>
    <row r="128" spans="2:5" s="97" customFormat="1" ht="10" x14ac:dyDescent="0.2">
      <c r="B128" s="102">
        <v>2017</v>
      </c>
      <c r="C128" s="103">
        <v>567.5</v>
      </c>
      <c r="D128" s="95"/>
      <c r="E128" s="96"/>
    </row>
    <row r="129" spans="2:5" s="97" customFormat="1" ht="10" x14ac:dyDescent="0.2">
      <c r="B129" s="102">
        <v>2018</v>
      </c>
      <c r="C129" s="103">
        <v>603.1</v>
      </c>
      <c r="D129" s="95"/>
      <c r="E129" s="96"/>
    </row>
    <row r="130" spans="2:5" s="97" customFormat="1" ht="10" x14ac:dyDescent="0.2">
      <c r="B130" s="102">
        <v>2019</v>
      </c>
      <c r="C130" s="103">
        <v>607.5</v>
      </c>
      <c r="D130" s="95"/>
      <c r="E130" s="96"/>
    </row>
    <row r="131" spans="2:5" s="97" customFormat="1" ht="10" x14ac:dyDescent="0.2">
      <c r="B131" s="102">
        <v>2020</v>
      </c>
      <c r="C131" s="103">
        <v>596.20000000000005</v>
      </c>
      <c r="D131" s="95"/>
      <c r="E131" s="96"/>
    </row>
    <row r="132" spans="2:5" ht="13" thickBot="1" x14ac:dyDescent="0.3">
      <c r="B132" s="154">
        <v>2021</v>
      </c>
      <c r="C132" s="155">
        <v>708</v>
      </c>
    </row>
  </sheetData>
  <mergeCells count="3">
    <mergeCell ref="A74:F74"/>
    <mergeCell ref="A90:F90"/>
    <mergeCell ref="A94:F94"/>
  </mergeCells>
  <hyperlinks>
    <hyperlink ref="F20" r:id="rId1" xr:uid="{2AB98EAD-09D3-4F33-AB67-B052AF5B7270}"/>
    <hyperlink ref="F21" r:id="rId2" xr:uid="{C8792CDC-5854-4926-9CFB-2E3C7ED0F223}"/>
    <hyperlink ref="F95" r:id="rId3" xr:uid="{A1FC95DB-A379-45EA-97C3-01C279BCB73F}"/>
  </hyperlinks>
  <printOptions horizontalCentered="1"/>
  <pageMargins left="0.7" right="0.7" top="0.75" bottom="0.75" header="0.3" footer="0.3"/>
  <pageSetup paperSize="3" scale="61" fitToHeight="3" orientation="landscape" horizontalDpi="1200" verticalDpi="1200" r:id="rId4"/>
  <headerFooter>
    <oddHeader>&amp;C&amp;"Tahoma,Bold"SCR Cost Analysis</oddHeader>
  </headerFooter>
  <rowBreaks count="3" manualBreakCount="3">
    <brk id="29" max="16383" man="1"/>
    <brk id="59" max="16383" man="1"/>
    <brk id="99"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7A3C4-B759-443D-9B40-F4AA6802CB68}">
  <sheetPr codeName="Sheet4">
    <tabColor theme="8" tint="0.39997558519241921"/>
    <pageSetUpPr fitToPage="1"/>
  </sheetPr>
  <dimension ref="A1:F184"/>
  <sheetViews>
    <sheetView topLeftCell="A37" workbookViewId="0">
      <selection activeCell="C59" sqref="C59"/>
    </sheetView>
  </sheetViews>
  <sheetFormatPr defaultRowHeight="12.5" x14ac:dyDescent="0.25"/>
  <cols>
    <col min="1" max="1" width="38.26953125" style="109" customWidth="1"/>
    <col min="2" max="4" width="12" style="109" customWidth="1"/>
    <col min="5" max="5" width="8.7265625" style="109"/>
    <col min="6" max="6" width="7.54296875" style="109" customWidth="1"/>
    <col min="7" max="256" width="8.7265625" style="109"/>
    <col min="257" max="257" width="38.26953125" style="109" customWidth="1"/>
    <col min="258" max="260" width="12" style="109" customWidth="1"/>
    <col min="261" max="261" width="8.7265625" style="109"/>
    <col min="262" max="262" width="7.54296875" style="109" customWidth="1"/>
    <col min="263" max="512" width="8.7265625" style="109"/>
    <col min="513" max="513" width="38.26953125" style="109" customWidth="1"/>
    <col min="514" max="516" width="12" style="109" customWidth="1"/>
    <col min="517" max="517" width="8.7265625" style="109"/>
    <col min="518" max="518" width="7.54296875" style="109" customWidth="1"/>
    <col min="519" max="768" width="8.7265625" style="109"/>
    <col min="769" max="769" width="38.26953125" style="109" customWidth="1"/>
    <col min="770" max="772" width="12" style="109" customWidth="1"/>
    <col min="773" max="773" width="8.7265625" style="109"/>
    <col min="774" max="774" width="7.54296875" style="109" customWidth="1"/>
    <col min="775" max="1024" width="8.7265625" style="109"/>
    <col min="1025" max="1025" width="38.26953125" style="109" customWidth="1"/>
    <col min="1026" max="1028" width="12" style="109" customWidth="1"/>
    <col min="1029" max="1029" width="8.7265625" style="109"/>
    <col min="1030" max="1030" width="7.54296875" style="109" customWidth="1"/>
    <col min="1031" max="1280" width="8.7265625" style="109"/>
    <col min="1281" max="1281" width="38.26953125" style="109" customWidth="1"/>
    <col min="1282" max="1284" width="12" style="109" customWidth="1"/>
    <col min="1285" max="1285" width="8.7265625" style="109"/>
    <col min="1286" max="1286" width="7.54296875" style="109" customWidth="1"/>
    <col min="1287" max="1536" width="8.7265625" style="109"/>
    <col min="1537" max="1537" width="38.26953125" style="109" customWidth="1"/>
    <col min="1538" max="1540" width="12" style="109" customWidth="1"/>
    <col min="1541" max="1541" width="8.7265625" style="109"/>
    <col min="1542" max="1542" width="7.54296875" style="109" customWidth="1"/>
    <col min="1543" max="1792" width="8.7265625" style="109"/>
    <col min="1793" max="1793" width="38.26953125" style="109" customWidth="1"/>
    <col min="1794" max="1796" width="12" style="109" customWidth="1"/>
    <col min="1797" max="1797" width="8.7265625" style="109"/>
    <col min="1798" max="1798" width="7.54296875" style="109" customWidth="1"/>
    <col min="1799" max="2048" width="8.7265625" style="109"/>
    <col min="2049" max="2049" width="38.26953125" style="109" customWidth="1"/>
    <col min="2050" max="2052" width="12" style="109" customWidth="1"/>
    <col min="2053" max="2053" width="8.7265625" style="109"/>
    <col min="2054" max="2054" width="7.54296875" style="109" customWidth="1"/>
    <col min="2055" max="2304" width="8.7265625" style="109"/>
    <col min="2305" max="2305" width="38.26953125" style="109" customWidth="1"/>
    <col min="2306" max="2308" width="12" style="109" customWidth="1"/>
    <col min="2309" max="2309" width="8.7265625" style="109"/>
    <col min="2310" max="2310" width="7.54296875" style="109" customWidth="1"/>
    <col min="2311" max="2560" width="8.7265625" style="109"/>
    <col min="2561" max="2561" width="38.26953125" style="109" customWidth="1"/>
    <col min="2562" max="2564" width="12" style="109" customWidth="1"/>
    <col min="2565" max="2565" width="8.7265625" style="109"/>
    <col min="2566" max="2566" width="7.54296875" style="109" customWidth="1"/>
    <col min="2567" max="2816" width="8.7265625" style="109"/>
    <col min="2817" max="2817" width="38.26953125" style="109" customWidth="1"/>
    <col min="2818" max="2820" width="12" style="109" customWidth="1"/>
    <col min="2821" max="2821" width="8.7265625" style="109"/>
    <col min="2822" max="2822" width="7.54296875" style="109" customWidth="1"/>
    <col min="2823" max="3072" width="8.7265625" style="109"/>
    <col min="3073" max="3073" width="38.26953125" style="109" customWidth="1"/>
    <col min="3074" max="3076" width="12" style="109" customWidth="1"/>
    <col min="3077" max="3077" width="8.7265625" style="109"/>
    <col min="3078" max="3078" width="7.54296875" style="109" customWidth="1"/>
    <col min="3079" max="3328" width="8.7265625" style="109"/>
    <col min="3329" max="3329" width="38.26953125" style="109" customWidth="1"/>
    <col min="3330" max="3332" width="12" style="109" customWidth="1"/>
    <col min="3333" max="3333" width="8.7265625" style="109"/>
    <col min="3334" max="3334" width="7.54296875" style="109" customWidth="1"/>
    <col min="3335" max="3584" width="8.7265625" style="109"/>
    <col min="3585" max="3585" width="38.26953125" style="109" customWidth="1"/>
    <col min="3586" max="3588" width="12" style="109" customWidth="1"/>
    <col min="3589" max="3589" width="8.7265625" style="109"/>
    <col min="3590" max="3590" width="7.54296875" style="109" customWidth="1"/>
    <col min="3591" max="3840" width="8.7265625" style="109"/>
    <col min="3841" max="3841" width="38.26953125" style="109" customWidth="1"/>
    <col min="3842" max="3844" width="12" style="109" customWidth="1"/>
    <col min="3845" max="3845" width="8.7265625" style="109"/>
    <col min="3846" max="3846" width="7.54296875" style="109" customWidth="1"/>
    <col min="3847" max="4096" width="8.7265625" style="109"/>
    <col min="4097" max="4097" width="38.26953125" style="109" customWidth="1"/>
    <col min="4098" max="4100" width="12" style="109" customWidth="1"/>
    <col min="4101" max="4101" width="8.7265625" style="109"/>
    <col min="4102" max="4102" width="7.54296875" style="109" customWidth="1"/>
    <col min="4103" max="4352" width="8.7265625" style="109"/>
    <col min="4353" max="4353" width="38.26953125" style="109" customWidth="1"/>
    <col min="4354" max="4356" width="12" style="109" customWidth="1"/>
    <col min="4357" max="4357" width="8.7265625" style="109"/>
    <col min="4358" max="4358" width="7.54296875" style="109" customWidth="1"/>
    <col min="4359" max="4608" width="8.7265625" style="109"/>
    <col min="4609" max="4609" width="38.26953125" style="109" customWidth="1"/>
    <col min="4610" max="4612" width="12" style="109" customWidth="1"/>
    <col min="4613" max="4613" width="8.7265625" style="109"/>
    <col min="4614" max="4614" width="7.54296875" style="109" customWidth="1"/>
    <col min="4615" max="4864" width="8.7265625" style="109"/>
    <col min="4865" max="4865" width="38.26953125" style="109" customWidth="1"/>
    <col min="4866" max="4868" width="12" style="109" customWidth="1"/>
    <col min="4869" max="4869" width="8.7265625" style="109"/>
    <col min="4870" max="4870" width="7.54296875" style="109" customWidth="1"/>
    <col min="4871" max="5120" width="8.7265625" style="109"/>
    <col min="5121" max="5121" width="38.26953125" style="109" customWidth="1"/>
    <col min="5122" max="5124" width="12" style="109" customWidth="1"/>
    <col min="5125" max="5125" width="8.7265625" style="109"/>
    <col min="5126" max="5126" width="7.54296875" style="109" customWidth="1"/>
    <col min="5127" max="5376" width="8.7265625" style="109"/>
    <col min="5377" max="5377" width="38.26953125" style="109" customWidth="1"/>
    <col min="5378" max="5380" width="12" style="109" customWidth="1"/>
    <col min="5381" max="5381" width="8.7265625" style="109"/>
    <col min="5382" max="5382" width="7.54296875" style="109" customWidth="1"/>
    <col min="5383" max="5632" width="8.7265625" style="109"/>
    <col min="5633" max="5633" width="38.26953125" style="109" customWidth="1"/>
    <col min="5634" max="5636" width="12" style="109" customWidth="1"/>
    <col min="5637" max="5637" width="8.7265625" style="109"/>
    <col min="5638" max="5638" width="7.54296875" style="109" customWidth="1"/>
    <col min="5639" max="5888" width="8.7265625" style="109"/>
    <col min="5889" max="5889" width="38.26953125" style="109" customWidth="1"/>
    <col min="5890" max="5892" width="12" style="109" customWidth="1"/>
    <col min="5893" max="5893" width="8.7265625" style="109"/>
    <col min="5894" max="5894" width="7.54296875" style="109" customWidth="1"/>
    <col min="5895" max="6144" width="8.7265625" style="109"/>
    <col min="6145" max="6145" width="38.26953125" style="109" customWidth="1"/>
    <col min="6146" max="6148" width="12" style="109" customWidth="1"/>
    <col min="6149" max="6149" width="8.7265625" style="109"/>
    <col min="6150" max="6150" width="7.54296875" style="109" customWidth="1"/>
    <col min="6151" max="6400" width="8.7265625" style="109"/>
    <col min="6401" max="6401" width="38.26953125" style="109" customWidth="1"/>
    <col min="6402" max="6404" width="12" style="109" customWidth="1"/>
    <col min="6405" max="6405" width="8.7265625" style="109"/>
    <col min="6406" max="6406" width="7.54296875" style="109" customWidth="1"/>
    <col min="6407" max="6656" width="8.7265625" style="109"/>
    <col min="6657" max="6657" width="38.26953125" style="109" customWidth="1"/>
    <col min="6658" max="6660" width="12" style="109" customWidth="1"/>
    <col min="6661" max="6661" width="8.7265625" style="109"/>
    <col min="6662" max="6662" width="7.54296875" style="109" customWidth="1"/>
    <col min="6663" max="6912" width="8.7265625" style="109"/>
    <col min="6913" max="6913" width="38.26953125" style="109" customWidth="1"/>
    <col min="6914" max="6916" width="12" style="109" customWidth="1"/>
    <col min="6917" max="6917" width="8.7265625" style="109"/>
    <col min="6918" max="6918" width="7.54296875" style="109" customWidth="1"/>
    <col min="6919" max="7168" width="8.7265625" style="109"/>
    <col min="7169" max="7169" width="38.26953125" style="109" customWidth="1"/>
    <col min="7170" max="7172" width="12" style="109" customWidth="1"/>
    <col min="7173" max="7173" width="8.7265625" style="109"/>
    <col min="7174" max="7174" width="7.54296875" style="109" customWidth="1"/>
    <col min="7175" max="7424" width="8.7265625" style="109"/>
    <col min="7425" max="7425" width="38.26953125" style="109" customWidth="1"/>
    <col min="7426" max="7428" width="12" style="109" customWidth="1"/>
    <col min="7429" max="7429" width="8.7265625" style="109"/>
    <col min="7430" max="7430" width="7.54296875" style="109" customWidth="1"/>
    <col min="7431" max="7680" width="8.7265625" style="109"/>
    <col min="7681" max="7681" width="38.26953125" style="109" customWidth="1"/>
    <col min="7682" max="7684" width="12" style="109" customWidth="1"/>
    <col min="7685" max="7685" width="8.7265625" style="109"/>
    <col min="7686" max="7686" width="7.54296875" style="109" customWidth="1"/>
    <col min="7687" max="7936" width="8.7265625" style="109"/>
    <col min="7937" max="7937" width="38.26953125" style="109" customWidth="1"/>
    <col min="7938" max="7940" width="12" style="109" customWidth="1"/>
    <col min="7941" max="7941" width="8.7265625" style="109"/>
    <col min="7942" max="7942" width="7.54296875" style="109" customWidth="1"/>
    <col min="7943" max="8192" width="8.7265625" style="109"/>
    <col min="8193" max="8193" width="38.26953125" style="109" customWidth="1"/>
    <col min="8194" max="8196" width="12" style="109" customWidth="1"/>
    <col min="8197" max="8197" width="8.7265625" style="109"/>
    <col min="8198" max="8198" width="7.54296875" style="109" customWidth="1"/>
    <col min="8199" max="8448" width="8.7265625" style="109"/>
    <col min="8449" max="8449" width="38.26953125" style="109" customWidth="1"/>
    <col min="8450" max="8452" width="12" style="109" customWidth="1"/>
    <col min="8453" max="8453" width="8.7265625" style="109"/>
    <col min="8454" max="8454" width="7.54296875" style="109" customWidth="1"/>
    <col min="8455" max="8704" width="8.7265625" style="109"/>
    <col min="8705" max="8705" width="38.26953125" style="109" customWidth="1"/>
    <col min="8706" max="8708" width="12" style="109" customWidth="1"/>
    <col min="8709" max="8709" width="8.7265625" style="109"/>
    <col min="8710" max="8710" width="7.54296875" style="109" customWidth="1"/>
    <col min="8711" max="8960" width="8.7265625" style="109"/>
    <col min="8961" max="8961" width="38.26953125" style="109" customWidth="1"/>
    <col min="8962" max="8964" width="12" style="109" customWidth="1"/>
    <col min="8965" max="8965" width="8.7265625" style="109"/>
    <col min="8966" max="8966" width="7.54296875" style="109" customWidth="1"/>
    <col min="8967" max="9216" width="8.7265625" style="109"/>
    <col min="9217" max="9217" width="38.26953125" style="109" customWidth="1"/>
    <col min="9218" max="9220" width="12" style="109" customWidth="1"/>
    <col min="9221" max="9221" width="8.7265625" style="109"/>
    <col min="9222" max="9222" width="7.54296875" style="109" customWidth="1"/>
    <col min="9223" max="9472" width="8.7265625" style="109"/>
    <col min="9473" max="9473" width="38.26953125" style="109" customWidth="1"/>
    <col min="9474" max="9476" width="12" style="109" customWidth="1"/>
    <col min="9477" max="9477" width="8.7265625" style="109"/>
    <col min="9478" max="9478" width="7.54296875" style="109" customWidth="1"/>
    <col min="9479" max="9728" width="8.7265625" style="109"/>
    <col min="9729" max="9729" width="38.26953125" style="109" customWidth="1"/>
    <col min="9730" max="9732" width="12" style="109" customWidth="1"/>
    <col min="9733" max="9733" width="8.7265625" style="109"/>
    <col min="9734" max="9734" width="7.54296875" style="109" customWidth="1"/>
    <col min="9735" max="9984" width="8.7265625" style="109"/>
    <col min="9985" max="9985" width="38.26953125" style="109" customWidth="1"/>
    <col min="9986" max="9988" width="12" style="109" customWidth="1"/>
    <col min="9989" max="9989" width="8.7265625" style="109"/>
    <col min="9990" max="9990" width="7.54296875" style="109" customWidth="1"/>
    <col min="9991" max="10240" width="8.7265625" style="109"/>
    <col min="10241" max="10241" width="38.26953125" style="109" customWidth="1"/>
    <col min="10242" max="10244" width="12" style="109" customWidth="1"/>
    <col min="10245" max="10245" width="8.7265625" style="109"/>
    <col min="10246" max="10246" width="7.54296875" style="109" customWidth="1"/>
    <col min="10247" max="10496" width="8.7265625" style="109"/>
    <col min="10497" max="10497" width="38.26953125" style="109" customWidth="1"/>
    <col min="10498" max="10500" width="12" style="109" customWidth="1"/>
    <col min="10501" max="10501" width="8.7265625" style="109"/>
    <col min="10502" max="10502" width="7.54296875" style="109" customWidth="1"/>
    <col min="10503" max="10752" width="8.7265625" style="109"/>
    <col min="10753" max="10753" width="38.26953125" style="109" customWidth="1"/>
    <col min="10754" max="10756" width="12" style="109" customWidth="1"/>
    <col min="10757" max="10757" width="8.7265625" style="109"/>
    <col min="10758" max="10758" width="7.54296875" style="109" customWidth="1"/>
    <col min="10759" max="11008" width="8.7265625" style="109"/>
    <col min="11009" max="11009" width="38.26953125" style="109" customWidth="1"/>
    <col min="11010" max="11012" width="12" style="109" customWidth="1"/>
    <col min="11013" max="11013" width="8.7265625" style="109"/>
    <col min="11014" max="11014" width="7.54296875" style="109" customWidth="1"/>
    <col min="11015" max="11264" width="8.7265625" style="109"/>
    <col min="11265" max="11265" width="38.26953125" style="109" customWidth="1"/>
    <col min="11266" max="11268" width="12" style="109" customWidth="1"/>
    <col min="11269" max="11269" width="8.7265625" style="109"/>
    <col min="11270" max="11270" width="7.54296875" style="109" customWidth="1"/>
    <col min="11271" max="11520" width="8.7265625" style="109"/>
    <col min="11521" max="11521" width="38.26953125" style="109" customWidth="1"/>
    <col min="11522" max="11524" width="12" style="109" customWidth="1"/>
    <col min="11525" max="11525" width="8.7265625" style="109"/>
    <col min="11526" max="11526" width="7.54296875" style="109" customWidth="1"/>
    <col min="11527" max="11776" width="8.7265625" style="109"/>
    <col min="11777" max="11777" width="38.26953125" style="109" customWidth="1"/>
    <col min="11778" max="11780" width="12" style="109" customWidth="1"/>
    <col min="11781" max="11781" width="8.7265625" style="109"/>
    <col min="11782" max="11782" width="7.54296875" style="109" customWidth="1"/>
    <col min="11783" max="12032" width="8.7265625" style="109"/>
    <col min="12033" max="12033" width="38.26953125" style="109" customWidth="1"/>
    <col min="12034" max="12036" width="12" style="109" customWidth="1"/>
    <col min="12037" max="12037" width="8.7265625" style="109"/>
    <col min="12038" max="12038" width="7.54296875" style="109" customWidth="1"/>
    <col min="12039" max="12288" width="8.7265625" style="109"/>
    <col min="12289" max="12289" width="38.26953125" style="109" customWidth="1"/>
    <col min="12290" max="12292" width="12" style="109" customWidth="1"/>
    <col min="12293" max="12293" width="8.7265625" style="109"/>
    <col min="12294" max="12294" width="7.54296875" style="109" customWidth="1"/>
    <col min="12295" max="12544" width="8.7265625" style="109"/>
    <col min="12545" max="12545" width="38.26953125" style="109" customWidth="1"/>
    <col min="12546" max="12548" width="12" style="109" customWidth="1"/>
    <col min="12549" max="12549" width="8.7265625" style="109"/>
    <col min="12550" max="12550" width="7.54296875" style="109" customWidth="1"/>
    <col min="12551" max="12800" width="8.7265625" style="109"/>
    <col min="12801" max="12801" width="38.26953125" style="109" customWidth="1"/>
    <col min="12802" max="12804" width="12" style="109" customWidth="1"/>
    <col min="12805" max="12805" width="8.7265625" style="109"/>
    <col min="12806" max="12806" width="7.54296875" style="109" customWidth="1"/>
    <col min="12807" max="13056" width="8.7265625" style="109"/>
    <col min="13057" max="13057" width="38.26953125" style="109" customWidth="1"/>
    <col min="13058" max="13060" width="12" style="109" customWidth="1"/>
    <col min="13061" max="13061" width="8.7265625" style="109"/>
    <col min="13062" max="13062" width="7.54296875" style="109" customWidth="1"/>
    <col min="13063" max="13312" width="8.7265625" style="109"/>
    <col min="13313" max="13313" width="38.26953125" style="109" customWidth="1"/>
    <col min="13314" max="13316" width="12" style="109" customWidth="1"/>
    <col min="13317" max="13317" width="8.7265625" style="109"/>
    <col min="13318" max="13318" width="7.54296875" style="109" customWidth="1"/>
    <col min="13319" max="13568" width="8.7265625" style="109"/>
    <col min="13569" max="13569" width="38.26953125" style="109" customWidth="1"/>
    <col min="13570" max="13572" width="12" style="109" customWidth="1"/>
    <col min="13573" max="13573" width="8.7265625" style="109"/>
    <col min="13574" max="13574" width="7.54296875" style="109" customWidth="1"/>
    <col min="13575" max="13824" width="8.7265625" style="109"/>
    <col min="13825" max="13825" width="38.26953125" style="109" customWidth="1"/>
    <col min="13826" max="13828" width="12" style="109" customWidth="1"/>
    <col min="13829" max="13829" width="8.7265625" style="109"/>
    <col min="13830" max="13830" width="7.54296875" style="109" customWidth="1"/>
    <col min="13831" max="14080" width="8.7265625" style="109"/>
    <col min="14081" max="14081" width="38.26953125" style="109" customWidth="1"/>
    <col min="14082" max="14084" width="12" style="109" customWidth="1"/>
    <col min="14085" max="14085" width="8.7265625" style="109"/>
    <col min="14086" max="14086" width="7.54296875" style="109" customWidth="1"/>
    <col min="14087" max="14336" width="8.7265625" style="109"/>
    <col min="14337" max="14337" width="38.26953125" style="109" customWidth="1"/>
    <col min="14338" max="14340" width="12" style="109" customWidth="1"/>
    <col min="14341" max="14341" width="8.7265625" style="109"/>
    <col min="14342" max="14342" width="7.54296875" style="109" customWidth="1"/>
    <col min="14343" max="14592" width="8.7265625" style="109"/>
    <col min="14593" max="14593" width="38.26953125" style="109" customWidth="1"/>
    <col min="14594" max="14596" width="12" style="109" customWidth="1"/>
    <col min="14597" max="14597" width="8.7265625" style="109"/>
    <col min="14598" max="14598" width="7.54296875" style="109" customWidth="1"/>
    <col min="14599" max="14848" width="8.7265625" style="109"/>
    <col min="14849" max="14849" width="38.26953125" style="109" customWidth="1"/>
    <col min="14850" max="14852" width="12" style="109" customWidth="1"/>
    <col min="14853" max="14853" width="8.7265625" style="109"/>
    <col min="14854" max="14854" width="7.54296875" style="109" customWidth="1"/>
    <col min="14855" max="15104" width="8.7265625" style="109"/>
    <col min="15105" max="15105" width="38.26953125" style="109" customWidth="1"/>
    <col min="15106" max="15108" width="12" style="109" customWidth="1"/>
    <col min="15109" max="15109" width="8.7265625" style="109"/>
    <col min="15110" max="15110" width="7.54296875" style="109" customWidth="1"/>
    <col min="15111" max="15360" width="8.7265625" style="109"/>
    <col min="15361" max="15361" width="38.26953125" style="109" customWidth="1"/>
    <col min="15362" max="15364" width="12" style="109" customWidth="1"/>
    <col min="15365" max="15365" width="8.7265625" style="109"/>
    <col min="15366" max="15366" width="7.54296875" style="109" customWidth="1"/>
    <col min="15367" max="15616" width="8.7265625" style="109"/>
    <col min="15617" max="15617" width="38.26953125" style="109" customWidth="1"/>
    <col min="15618" max="15620" width="12" style="109" customWidth="1"/>
    <col min="15621" max="15621" width="8.7265625" style="109"/>
    <col min="15622" max="15622" width="7.54296875" style="109" customWidth="1"/>
    <col min="15623" max="15872" width="8.7265625" style="109"/>
    <col min="15873" max="15873" width="38.26953125" style="109" customWidth="1"/>
    <col min="15874" max="15876" width="12" style="109" customWidth="1"/>
    <col min="15877" max="15877" width="8.7265625" style="109"/>
    <col min="15878" max="15878" width="7.54296875" style="109" customWidth="1"/>
    <col min="15879" max="16128" width="8.7265625" style="109"/>
    <col min="16129" max="16129" width="38.26953125" style="109" customWidth="1"/>
    <col min="16130" max="16132" width="12" style="109" customWidth="1"/>
    <col min="16133" max="16133" width="8.7265625" style="109"/>
    <col min="16134" max="16134" width="7.54296875" style="109" customWidth="1"/>
    <col min="16135" max="16384" width="8.7265625" style="109"/>
  </cols>
  <sheetData>
    <row r="1" spans="1:4" x14ac:dyDescent="0.25">
      <c r="B1" s="124" t="s">
        <v>967</v>
      </c>
      <c r="C1" s="124" t="s">
        <v>968</v>
      </c>
      <c r="D1" s="124" t="s">
        <v>969</v>
      </c>
    </row>
    <row r="2" spans="1:4" x14ac:dyDescent="0.25">
      <c r="A2" s="109" t="s">
        <v>970</v>
      </c>
    </row>
    <row r="3" spans="1:4" x14ac:dyDescent="0.25">
      <c r="A3" s="109" t="s">
        <v>971</v>
      </c>
      <c r="B3" s="119">
        <f>(V!B1*V!B2)*(V!T5*(1+V!T6)*F!B1)+(V!E1*V!E1*V!T5*(1+V!T6)*F!Q24)+(V!W1*V!W2*V!T5*(1+V!T6)*F!Q25)</f>
        <v>278.40000000000003</v>
      </c>
      <c r="C3" s="119"/>
      <c r="D3" s="119"/>
    </row>
    <row r="4" spans="1:4" x14ac:dyDescent="0.25">
      <c r="A4" s="109" t="s">
        <v>972</v>
      </c>
      <c r="B4" s="119">
        <f>(V!B3*V!B2*F!B1)*(V!T5*(1+V!T6)*F!E4)+(V!E1*V!E1*V!T5*(1+V!T6)*F!B3)+((V!W1*F!H64+V!W4*F!E64)*V!W2*V!T5*(1+V!T6)*F!B64)+(V!K1*V!B2*V!B2*F!E5*V!T5*(1+V!T6))</f>
        <v>489.6</v>
      </c>
      <c r="C4" s="119"/>
      <c r="D4" s="119">
        <f>((V!T7*V!B2)+(V!T8*V!B2*F!B5))*V!B2*F!E5</f>
        <v>292</v>
      </c>
    </row>
    <row r="5" spans="1:4" x14ac:dyDescent="0.25">
      <c r="A5" s="109" t="s">
        <v>973</v>
      </c>
      <c r="B5" s="119">
        <f>V!H10*V!H2*V!T5*(1+V!T6)*F!B7</f>
        <v>288</v>
      </c>
      <c r="C5" s="119"/>
      <c r="D5" s="119"/>
    </row>
    <row r="6" spans="1:4" x14ac:dyDescent="0.25">
      <c r="A6" s="109" t="s">
        <v>974</v>
      </c>
      <c r="B6" s="119">
        <f>IF(Start!F47="e",((V!N2+(V!N16*F!B6))*V!N2*V!T5*(1+V!T6)*F!E5)+(V!N16*V!N2*V!T10*(1+V!T11)*F!B6),0)</f>
        <v>393.6</v>
      </c>
      <c r="C6" s="119"/>
      <c r="D6" s="119">
        <f>IF(Start!F47="e",(V!T8*V!N2*F!H24*F!E5*V!N2),0)</f>
        <v>84</v>
      </c>
    </row>
    <row r="7" spans="1:4" x14ac:dyDescent="0.25">
      <c r="A7" s="109" t="s">
        <v>975</v>
      </c>
      <c r="B7" s="119">
        <f>IF(Start!F47="e",(V!N4*V!N2*V!T5*(1+V!T6)*F!B8)+(V!N3*V!N2*V!T5*(1+V!T6)*F!E12)+((V!W3*F!E64+V!W4*F!H64)*V!W2*V!T5*(1+V!T6)*F!B64),(V!B4*V!B2*V!T5*(1+V!T6)*F!B8)+(V!E2*V!E1*V!T5*(1+V!T6)*F!E12)+((V!W1*F!H64+V!W4*F!E64)*V!W2*V!T5*(1+V!T6)*F!B64))</f>
        <v>768</v>
      </c>
      <c r="C7" s="119"/>
      <c r="D7" s="119"/>
    </row>
    <row r="8" spans="1:4" x14ac:dyDescent="0.25">
      <c r="A8" s="109" t="s">
        <v>976</v>
      </c>
      <c r="B8" s="119">
        <f>IF(Start!F47="e",(V!N5*V!N2*V!T5*(1+V!T6)*F!B10)+(V!N3*V!N2*V!T5*(1+V!T6)*F!Q26),(V!B5*V!B2*V!T5*(1+V!T6)*F!B10)+(V!E2*V!E1*V!T5*(1+V!T6)*F!Q26))</f>
        <v>960</v>
      </c>
      <c r="C8" s="119"/>
      <c r="D8" s="119"/>
    </row>
    <row r="10" spans="1:4" x14ac:dyDescent="0.25">
      <c r="A10" s="109" t="s">
        <v>977</v>
      </c>
      <c r="B10" s="119">
        <f>SUM(B3:B8)</f>
        <v>3177.6</v>
      </c>
      <c r="C10" s="119">
        <f>SUM(C3:C8)</f>
        <v>0</v>
      </c>
      <c r="D10" s="119">
        <f>SUM(D3:D8)</f>
        <v>376</v>
      </c>
    </row>
    <row r="12" spans="1:4" x14ac:dyDescent="0.25">
      <c r="A12" s="109" t="s">
        <v>978</v>
      </c>
    </row>
    <row r="13" spans="1:4" x14ac:dyDescent="0.25">
      <c r="A13" s="109" t="s">
        <v>979</v>
      </c>
      <c r="B13" s="119">
        <f>(V!B1*V!B2*V!T5*(1+V!T6)*F!N1)+(V!E2*V!E1*V!T5*(1+V!T6)*F!B11)+(V!W1*V!W4*V!T5*(1+V!T6)*F!Q23)</f>
        <v>384</v>
      </c>
    </row>
    <row r="14" spans="1:4" x14ac:dyDescent="0.25">
      <c r="A14" s="109" t="s">
        <v>980</v>
      </c>
      <c r="B14" s="119">
        <f>(V!B6*V!B2*V!T5*(1+V!T6)*F!N2)+(V!E3*V!E1*V!T5*(1+V!T6)*F!E7)+(V!B3*V!B2*V!T10*(1+V!T11)*F!E4)+(V!E1*V!E1*V!T10*(1+V!T11)*F!E2)+((V!W8*F!H64+V!W6*F!E64)*V!W1*V!T5*(1+V!T6)*F!Q22)+((V!W1*F!H64+V!W4*F!E64)*V!W2*V!T10*(1+V!T11)*F!E73)</f>
        <v>2416</v>
      </c>
    </row>
    <row r="15" spans="1:4" x14ac:dyDescent="0.25">
      <c r="A15" s="109" t="s">
        <v>981</v>
      </c>
      <c r="B15" s="119">
        <f>(V!B1*V!B2*V!T5*(1+V!T6)*F!E4)+(V!E11*V!E1*V!T5*(1+V!T6)*F!E2)+(V!W3*V!W1*V!T5*(1+V!T6)*F!E73)</f>
        <v>480</v>
      </c>
    </row>
    <row r="16" spans="1:4" x14ac:dyDescent="0.25">
      <c r="A16" s="109" t="s">
        <v>982</v>
      </c>
      <c r="B16" s="119">
        <f>(V!B8*V!B2*V!T5*(1+V!T6)*F!N6)+(V!E3*V!E1*V!T5*(1+V!T6)*F!E12)+((V!W8*F!H64+V!W6*F!E64)*V!W1*V!T5*(1+V!T6)*F!E73)</f>
        <v>1862.3999999999999</v>
      </c>
    </row>
    <row r="17" spans="1:4" x14ac:dyDescent="0.25">
      <c r="A17" s="109" t="s">
        <v>983</v>
      </c>
      <c r="B17" s="119">
        <f>(V!B15*V!B2*V!T5*(1+V!T6)*F!Q30)</f>
        <v>192</v>
      </c>
      <c r="D17" s="119">
        <f>(V!H5*F!Q31)</f>
        <v>86.668000000000006</v>
      </c>
    </row>
    <row r="18" spans="1:4" x14ac:dyDescent="0.25">
      <c r="A18" s="109" t="s">
        <v>984</v>
      </c>
      <c r="B18" s="119">
        <f>(V!H1*V!H2*V!T5*(1+V!T6)*F!B13)+(V!E7*V!E1*V!T5*(1+V!T6)*F!E30)+((V!W15*F!H64+V!W12*F!E64)*V!W1*V!T5*(1+V!T6)*F!E73)</f>
        <v>691.2</v>
      </c>
      <c r="D18" s="119">
        <f>V!H14*F!Q37</f>
        <v>50</v>
      </c>
    </row>
    <row r="19" spans="1:4" x14ac:dyDescent="0.25">
      <c r="A19" s="109" t="s">
        <v>985</v>
      </c>
      <c r="B19" s="119">
        <f>(V!B6*V!B2*V!T5*(1+V!T6)*F!E10)+(V!H24*V!H2*V!T5*(1+V!T6)*F!H17)+((V!W6*F!H64+V!W16*F!E64)*V!W1*V!T5*(1+V!T6)*F!Q22)+(V!B4*V!B2+V!K1*V!B2*V!B2)*V!T5*(1+V!T6)*(F!Q14*F!E28+F!Q15*F!E65+F!Q16*F!B64)+((V!B4*V!B10)*V!T10*(1+V!T11)*(F!Q14*F!E28+F!Q15*F!E65+F!Q16*F!B64))</f>
        <v>2860.8</v>
      </c>
      <c r="D19" s="119">
        <f>V!H15+(V!T7+V!T8)*V!B2*(F!Q14*F!E28+F!Q15*F!E65+F!Q16*F!B64)</f>
        <v>320</v>
      </c>
    </row>
    <row r="20" spans="1:4" x14ac:dyDescent="0.25">
      <c r="A20" s="109" t="s">
        <v>986</v>
      </c>
      <c r="B20" s="119">
        <f>(V!B19*V!B2*V!T5*(1+V!T6)*F!E28)+(V!B20*V!B2*V!T5*(1+V!T6)*F!E65)+(V!W13*V!W2*V!T5*(1+V!T6)*F!B64)</f>
        <v>720</v>
      </c>
      <c r="D20" s="119"/>
    </row>
    <row r="21" spans="1:4" x14ac:dyDescent="0.25">
      <c r="A21" s="109" t="s">
        <v>987</v>
      </c>
      <c r="B21" s="119">
        <f>((V!B6*V!B2*F!H23+V!B7*F!H33*F!H3+V!B7*F!J33*F!H4)*V!T5*(1+V!T6))+(V!B4*V!B2*V!T5*(1+V!T6)*(F!B52+F!B55+F!B64))+((V!B13*V!B2*F!H23+V!B7*F!H33*F!H3+V!B7*F!J33*F!H4)*V!T10*(1+V!T11))+(V!B3*V!B2*V!T10*(1+V!T11)*(F!B52+F!B55+F!B64))</f>
        <v>3302.4</v>
      </c>
      <c r="D21" s="119">
        <f>IF(Start!F42="y",(V!H16+(V!T7*V!B2)+(V!T8*V!B18)+(V!T12*V!B2)+(V!T13*V!B18))*F!H19+100,100)+IF(Start!F43="y",(V!H37+(V!T7*V!B2)+(V!T8*V!B18)+(V!T12*V!B2)+(V!T13*V!B18))*F!J33+100,100)</f>
        <v>2623.75</v>
      </c>
    </row>
    <row r="23" spans="1:4" x14ac:dyDescent="0.25">
      <c r="A23" s="109" t="s">
        <v>977</v>
      </c>
      <c r="B23" s="119">
        <f>SUM(B13:B21)</f>
        <v>12908.8</v>
      </c>
      <c r="C23" s="119">
        <f>SUM(C13:C21)</f>
        <v>0</v>
      </c>
      <c r="D23" s="119">
        <f>SUM(D13:D21)</f>
        <v>3080.4180000000001</v>
      </c>
    </row>
    <row r="25" spans="1:4" x14ac:dyDescent="0.25">
      <c r="A25" s="109" t="s">
        <v>988</v>
      </c>
    </row>
    <row r="26" spans="1:4" x14ac:dyDescent="0.25">
      <c r="A26" s="109" t="s">
        <v>989</v>
      </c>
      <c r="D26" s="119">
        <f>V!N8*(F!Q7)+V!N9*(F!B52+F!B53)+V!N8*F!B58+V!N8*F!B43+V!N8*Start!D33</f>
        <v>1065</v>
      </c>
    </row>
    <row r="27" spans="1:4" x14ac:dyDescent="0.25">
      <c r="A27" s="109" t="s">
        <v>990</v>
      </c>
      <c r="D27" s="119">
        <f>IF(Start!F47="e",(V!N10*F!Q1+V!N11*(F!B52+F!B53+F!B64)+V!N10*F!B58)*F!Q6,(V!N15*F!Q1+V!N14*(F!B52+F!B53+F!B64)+V!N15*F!B58))</f>
        <v>0</v>
      </c>
    </row>
    <row r="28" spans="1:4" x14ac:dyDescent="0.25">
      <c r="A28" s="109" t="s">
        <v>991</v>
      </c>
      <c r="D28" s="119">
        <f>V!N12*(F!Q10+F!Q11)</f>
        <v>0</v>
      </c>
    </row>
    <row r="29" spans="1:4" x14ac:dyDescent="0.25">
      <c r="A29" s="109" t="s">
        <v>992</v>
      </c>
      <c r="D29" s="119">
        <f>(V!T4*F!Q3)</f>
        <v>21000</v>
      </c>
    </row>
    <row r="31" spans="1:4" x14ac:dyDescent="0.25">
      <c r="A31" s="109" t="s">
        <v>993</v>
      </c>
      <c r="B31" s="119">
        <f>SUM(B26:B29)</f>
        <v>0</v>
      </c>
      <c r="C31" s="119">
        <f>SUM(C26:C29)</f>
        <v>0</v>
      </c>
      <c r="D31" s="119">
        <f>SUM(D26:D29)</f>
        <v>22065</v>
      </c>
    </row>
    <row r="32" spans="1:4" x14ac:dyDescent="0.25">
      <c r="C32" s="119"/>
      <c r="D32" s="119"/>
    </row>
    <row r="33" spans="1:4" x14ac:dyDescent="0.25">
      <c r="A33" s="109" t="s">
        <v>994</v>
      </c>
    </row>
    <row r="34" spans="1:4" x14ac:dyDescent="0.25">
      <c r="A34" s="109" t="s">
        <v>995</v>
      </c>
      <c r="D34" s="119">
        <f>(V!H2*F!N31)</f>
        <v>0</v>
      </c>
    </row>
    <row r="35" spans="1:4" x14ac:dyDescent="0.25">
      <c r="A35" s="109" t="s">
        <v>996</v>
      </c>
      <c r="D35" s="119">
        <f>V!T36*(Start!C27+Start!D27)+V!T37*(Start!C28+Start!D28)+V!T38*(Start!C29+Start!D29)</f>
        <v>0</v>
      </c>
    </row>
    <row r="36" spans="1:4" x14ac:dyDescent="0.25">
      <c r="A36" s="109" t="s">
        <v>997</v>
      </c>
      <c r="D36" s="119">
        <f>(V!H2*F!N20)</f>
        <v>16300</v>
      </c>
    </row>
    <row r="37" spans="1:4" x14ac:dyDescent="0.25">
      <c r="A37" s="109" t="s">
        <v>998</v>
      </c>
      <c r="D37" s="119">
        <f>(V!T2*(F!N25)+V!T1*(F!N28)+V!T40*(F!B54+F!B56))-(3500*(F!N33+F!N34))</f>
        <v>22000</v>
      </c>
    </row>
    <row r="38" spans="1:4" x14ac:dyDescent="0.25">
      <c r="A38" s="109" t="s">
        <v>999</v>
      </c>
      <c r="D38" s="119">
        <f>V!T43*F!H6</f>
        <v>6800</v>
      </c>
    </row>
    <row r="39" spans="1:4" x14ac:dyDescent="0.25">
      <c r="A39" s="109" t="s">
        <v>1000</v>
      </c>
      <c r="D39" s="119">
        <f>(V!T3*F!Q34)</f>
        <v>3200</v>
      </c>
    </row>
    <row r="40" spans="1:4" x14ac:dyDescent="0.25">
      <c r="A40" s="109" t="s">
        <v>1001</v>
      </c>
      <c r="D40" s="119">
        <f>(V!H2*F!N32)</f>
        <v>18000</v>
      </c>
    </row>
    <row r="41" spans="1:4" x14ac:dyDescent="0.25">
      <c r="A41" s="109" t="s">
        <v>1002</v>
      </c>
      <c r="D41" s="119">
        <f>V!T39*F!E43*F!N50</f>
        <v>0</v>
      </c>
    </row>
    <row r="42" spans="1:4" x14ac:dyDescent="0.25">
      <c r="A42" s="109" t="s">
        <v>1003</v>
      </c>
      <c r="D42" s="119"/>
    </row>
    <row r="43" spans="1:4" x14ac:dyDescent="0.25">
      <c r="A43" s="109" t="s">
        <v>1004</v>
      </c>
      <c r="D43" s="119">
        <f>(V!T41+ V!T42*(Start!D33-1))*F!E72</f>
        <v>0</v>
      </c>
    </row>
    <row r="44" spans="1:4" x14ac:dyDescent="0.25">
      <c r="A44" s="109" t="s">
        <v>1005</v>
      </c>
      <c r="D44" s="119">
        <f>(SUM(D34:D43)*0.06)</f>
        <v>3978</v>
      </c>
    </row>
    <row r="46" spans="1:4" x14ac:dyDescent="0.25">
      <c r="A46" s="109" t="s">
        <v>993</v>
      </c>
      <c r="B46" s="119"/>
      <c r="C46" s="119"/>
      <c r="D46" s="119">
        <f>SUM(D34:D44)</f>
        <v>70278</v>
      </c>
    </row>
    <row r="48" spans="1:4" x14ac:dyDescent="0.25">
      <c r="A48" s="109" t="s">
        <v>1006</v>
      </c>
    </row>
    <row r="49" spans="1:4" x14ac:dyDescent="0.25">
      <c r="A49" s="109" t="s">
        <v>1007</v>
      </c>
      <c r="B49" s="119">
        <f>IF(Start!F47="e",(V!B14*V!B10*V!T10*(1+V!T11)*(F!E8+F!E24))+(V!E6*V!E2*V!T10*(1+V!T11)*F!E6)+(V!H28*V!H6*V!T10*(1+V!T11)*F!B58)+(V!W1*V!W2*V!T10*(1+V!T11)*Start!D33),(V!B17*V!B10*V!T10*(1+V!T11)*(F!E8+F!E24))+(V!E6*V!E2*V!T10*(1+V!T11)*F!E6)+(V!H28*V!H6*V!T10*(1+V!T11)*F!B58)+(V!W1*V!W2*V!T10*(1+V!T11)*Start!D33))</f>
        <v>3945.6</v>
      </c>
      <c r="C49" s="119"/>
      <c r="D49" s="119">
        <f>V!T51*(F!B54+F!B56)+(V!T55*Start!D33)</f>
        <v>0</v>
      </c>
    </row>
    <row r="50" spans="1:4" x14ac:dyDescent="0.25">
      <c r="A50" s="109" t="s">
        <v>1008</v>
      </c>
      <c r="B50" s="119">
        <f>(V!B5*V!B10*V!T10*(1+V!T11)*F!H13)+(V!E2*V!E2*V!T10*(1+V!T11)*F!K2)+(V!W1*V!W3*V!T10*(1+V!T11)*F!Q36)</f>
        <v>576</v>
      </c>
      <c r="C50" s="119"/>
      <c r="D50" s="119">
        <f>(V!T45+V!T53*V!B10*V!B11+V!T52*V!B11)*(F!N39+F!E43+F!E58)+(V!T54*V!B10*(F!H49+F!E43+F!E58))+(V!T46+V!B10*V!T53+V!B10*V!T52+V!T54)*(F!H52)+((((V!W1*(V!W13+V!W11)*(V!T15)*(1+V!T16))+(V!W1*V!W4*V!T53)+(V!W1*V!W4*V!T52))*(F!Q36)+V!T54*F!B64)*(1+V!T19))</f>
        <v>7552.5</v>
      </c>
    </row>
    <row r="51" spans="1:4" x14ac:dyDescent="0.25">
      <c r="A51" s="109" t="s">
        <v>1009</v>
      </c>
      <c r="B51" s="119">
        <f>(V!Z7*V!Z1*V!Z6*V!T10*(1+V!T11)*F!E17)+(V!Z7*V!Z4*V!Z1*V!T10*(1+V!T11)*F!E58)</f>
        <v>2211.84</v>
      </c>
      <c r="C51" s="119"/>
      <c r="D51" s="119">
        <f>(V!T47*F!E17+((V!T53*V!Z5+V!T52*V!Z6)*F!E17+V!T54)*(1+V!T19))+(V!T48+(V!T53*V!Z3+V!T52*V!Z4+V!T54)*(1+V!T19))*F!E58</f>
        <v>4728.5</v>
      </c>
    </row>
    <row r="53" spans="1:4" x14ac:dyDescent="0.25">
      <c r="A53" s="109" t="s">
        <v>993</v>
      </c>
      <c r="B53" s="119">
        <f>SUM(B49:B51)</f>
        <v>6733.4400000000005</v>
      </c>
      <c r="C53" s="119">
        <f>SUM(C49:C51)</f>
        <v>0</v>
      </c>
      <c r="D53" s="119">
        <f>SUM(D49:D51)</f>
        <v>12281</v>
      </c>
    </row>
    <row r="55" spans="1:4" x14ac:dyDescent="0.25">
      <c r="A55" s="109" t="s">
        <v>1010</v>
      </c>
    </row>
    <row r="56" spans="1:4" x14ac:dyDescent="0.25">
      <c r="A56" s="109" t="s">
        <v>1011</v>
      </c>
      <c r="B56" s="119">
        <f>(V!B4+V!B3)*V!T5*(1+V!T6)*F!E68+(V!B3*V!B2*V!T5*(1+V!T6)*F!E69)+(V!E2*V!E1*V!T5*(1+V!T6)*F!B52)</f>
        <v>768</v>
      </c>
      <c r="C56" s="119"/>
      <c r="D56" s="119">
        <f>(V!H14)*F!E68</f>
        <v>50</v>
      </c>
    </row>
    <row r="57" spans="1:4" x14ac:dyDescent="0.25">
      <c r="A57" s="109" t="s">
        <v>1012</v>
      </c>
      <c r="B57" s="119">
        <f>((V!H13*V!H2*F!E23*F!E69+V!K1*V!H2*V!H2*F!N11*F!E69)*V!T5*(1+V!T6))+(V!H7*V!H2*V!T10*(1+V!T11)*F!E23*F!E69)</f>
        <v>650.88000000000011</v>
      </c>
      <c r="C57" s="119">
        <f>(V!H13*V!H2*V!T20*(1+V!T21)*F!E23*F!E69*(1+V!T24))</f>
        <v>391.22999999999996</v>
      </c>
      <c r="D57" s="119">
        <f>(V!T7*V!H2+V!T8*V!H2*F!E13)*V!H2*F!N11*F!E69</f>
        <v>295</v>
      </c>
    </row>
    <row r="58" spans="1:4" x14ac:dyDescent="0.25">
      <c r="A58" s="109" t="s">
        <v>1013</v>
      </c>
      <c r="B58" s="119">
        <f>(V!H10*V!H2*V!T10*(1+V!T11)*F!H22)</f>
        <v>108</v>
      </c>
      <c r="C58" s="119"/>
      <c r="D58" s="119">
        <f>(V!H29*F!H16)+(V!H33*F!B43)</f>
        <v>150</v>
      </c>
    </row>
    <row r="59" spans="1:4" x14ac:dyDescent="0.25">
      <c r="A59" s="109" t="s">
        <v>1014</v>
      </c>
      <c r="B59" s="119">
        <f>((V!H3*V!H2+(V!H25*F!H9))*V!T5*(1+V!T6)*F!H14)+(V!H11*V!H2*V!T5*(1+V!T6)*F!E21*F!N19)+((V!H7*V!H2+V!H7*F!E43+(V!H26*F!H9))*V!T10*(1+V!T11)*F!H14)+(V!H30*V!H2*V!T10*(1+V!T11)*F!E21)</f>
        <v>499.2</v>
      </c>
      <c r="C59" s="119">
        <f>(((V!H11*V!H6*F!H14*F!N23)+(V!H10*F!H10)+(V!H4*F!H9)+(V!K5*V!H6*V!H2*F!E4))*V!T20*(1+V!T21)*(1+V!T24))+(((V!T22*V!H2)+(V!T23*V!H4*F!E10)*F!H14*V!H6*F!N23)*F!E4*(1+V!T24))+((V!H12*F!H13+(V!H35*F!B43)+(V!H12*F!H10))*(1+V!T24))+((V!H30*V!H7*F!N37+V!K5*V!H6*V!H2)*V!T20*(1+V!T21)+(V!T22*V!H2+V!T23*V!H7*V!H7*F!N37))*(1+V!T24)*(F!E43)+(((V!H15*V!H2+V!K5*V!H2*V!H2)*V!T20*(1+V!T21)+V!T22*V!H2*V!H2+V!T23*V!H4*V!H2+V!H9)*F!E19*F!K67*(1+V!T24))+((((V!H31*V!H7+(V!K5*V!H2*V!H7)*F!K28*F!N36)*V!T20*(1+V!T21)+(V!T22*V!H2*F!N36)+(V!T23*V!H7*V!H7)+V!H36))*F!E21)*(1+V!T24)+((V!H31*V!H2+V!K5*V!H2)*V!T15*(1+V!T16)+V!T17+V!T18*V!H7+V!T52*V!H7)*F!E21*(1+V!T19)</f>
        <v>9052.7999999999993</v>
      </c>
      <c r="D59" s="119">
        <f>(V!T8*V!H2*F!E10*V!H2*F!E4)+(V!T8*V!H23*V!H2*F!E21)</f>
        <v>90</v>
      </c>
    </row>
    <row r="60" spans="1:4" x14ac:dyDescent="0.25">
      <c r="A60" s="109" t="s">
        <v>1015</v>
      </c>
      <c r="B60" s="119"/>
      <c r="C60" s="119">
        <f>((V!B10*V!B2*V!T15*(1+V!T16)*F!E10)+(V!E1*V!E1*V!T15*(1+V!T16)*F!E11)+(V!E2*V!E1*V!T15*(1+V!T16)*F!E21))*(1+V!T19)+((V!B5*V!B2*V!T20*(1+V!T21)*F!E10)+(V!E7*V!E1*V!T20*(1+V!T21)*F!H52)+(V!H7*V!H2*V!T20*(1+V!T21)*F!E19)+V!H14*F!E71+(V!E6*V!E1*V!T20*(1+V!T21)*F!E21))*(1+V!T24)</f>
        <v>1651.3999999999999</v>
      </c>
      <c r="D60" s="119"/>
    </row>
    <row r="61" spans="1:4" x14ac:dyDescent="0.25">
      <c r="A61" s="109" t="s">
        <v>1016</v>
      </c>
      <c r="B61" s="119">
        <f>(V!B11*V!B2*V!T5*(1+V!T6)*F!K11)+(V!E1*V!E1*V!T5*(1+V!T6)*F!E12)+(V!B10*V!B2*V!T10*(1+V!T11)*F!K11)+(V!E1*V!E1*V!T10*(1+V!T11)*F!E12)</f>
        <v>238.08</v>
      </c>
      <c r="C61" s="119"/>
      <c r="D61" s="119"/>
    </row>
    <row r="62" spans="1:4" x14ac:dyDescent="0.25">
      <c r="A62" s="109" t="s">
        <v>1017</v>
      </c>
    </row>
    <row r="63" spans="1:4" x14ac:dyDescent="0.25">
      <c r="A63" s="109" t="s">
        <v>993</v>
      </c>
      <c r="B63" s="119">
        <f>SUM(B56:B61)</f>
        <v>2264.1600000000003</v>
      </c>
      <c r="C63" s="119">
        <f>SUM(C56:C61)</f>
        <v>11095.429999999998</v>
      </c>
      <c r="D63" s="119">
        <f>SUM(D56:D61)</f>
        <v>585</v>
      </c>
    </row>
    <row r="65" spans="1:4" x14ac:dyDescent="0.25">
      <c r="A65" s="109" t="s">
        <v>1018</v>
      </c>
    </row>
    <row r="66" spans="1:4" x14ac:dyDescent="0.25">
      <c r="A66" s="109" t="s">
        <v>1019</v>
      </c>
      <c r="B66" s="119">
        <f>(V!B11*V!B2*V!T5*(1+V!T6)*F!E4)+(V!E1*V!E1*V!T5*(1+V!T6)*F!K2)+(V!B2*V!B2*V!T10*(1+V!T11)*F!E4)+(V!E1*V!E1*V!T10*(1+V!T11)*F!K2)+(V!W4*V!W2*V!T5*(1+V!T6)*F!B64)</f>
        <v>249.60000000000002</v>
      </c>
      <c r="C66" s="119"/>
      <c r="D66" s="119"/>
    </row>
    <row r="67" spans="1:4" x14ac:dyDescent="0.25">
      <c r="A67" s="109" t="s">
        <v>1020</v>
      </c>
      <c r="B67" s="119">
        <f>((V!H7+V!H3+V!H7)*V!H2*V!T5*(1+V!T6)*F!K3)</f>
        <v>691.2</v>
      </c>
      <c r="C67" s="119"/>
      <c r="D67" s="119">
        <f>V!H14*F!E71</f>
        <v>50</v>
      </c>
    </row>
    <row r="68" spans="1:4" x14ac:dyDescent="0.25">
      <c r="A68" s="109" t="s">
        <v>1021</v>
      </c>
      <c r="B68" s="119">
        <f>(((V!H7*V!H2*F!H12+V!K1*V!H2*V!H2)*V!T5*(1+V!T6))+(V!H7*V!H6*V!T10*(1+V!T11)*F!H12))*F!E71</f>
        <v>642.81600000000003</v>
      </c>
      <c r="C68" s="119">
        <f>((V!H18*V!H2*F!H12+V!K4*V!H2*V!H2)*V!T15*(1+V!T16)+(V!T17*V!H2+V!T18*V!H2*F!K4)*V!H2)*(1+V!T19)*F!E71</f>
        <v>2883.3145</v>
      </c>
      <c r="D68" s="119">
        <f>(V!T7*V!H2+V!T8*V!H2*F!K4)*V!H2*F!E71</f>
        <v>295</v>
      </c>
    </row>
    <row r="69" spans="1:4" x14ac:dyDescent="0.25">
      <c r="A69" s="109" t="s">
        <v>1022</v>
      </c>
      <c r="B69" s="119">
        <f>V!W3*V!W2*V!T5*(1+V!T6)*F!B64</f>
        <v>0</v>
      </c>
      <c r="C69" s="119">
        <f>((V!B12*V!B2*V!T15*(1+V!T16)*F!K11)+(V!E8*V!E1*V!T15*(1+V!T16)*F!E58)+(V!E5*V!E1*V!T15*(1+V!T16)*F!E14)+V!H14*F!E71)*(1+V!T19)</f>
        <v>7882.0999999999995</v>
      </c>
      <c r="D69" s="119"/>
    </row>
    <row r="70" spans="1:4" x14ac:dyDescent="0.25">
      <c r="A70" s="109" t="s">
        <v>1023</v>
      </c>
      <c r="B70" s="119">
        <f>(V!B1*V!B2*V!T5*(1+V!T6)*F!K11)+(V!E2*V!E1*V!T5*(1+V!T6)*F!B3)+(V!B11*V!B10*V!T10*(1+V!T11)*F!K11)+(V!E1*V!E2*V!T10*(1+V!T11)*F!B3)+(V!W8*V!W1*V!T5*(1+V!T6)*0.2*F!B64)</f>
        <v>522.24</v>
      </c>
      <c r="C70" s="119"/>
      <c r="D70" s="119"/>
    </row>
    <row r="71" spans="1:4" x14ac:dyDescent="0.25">
      <c r="A71" s="109" t="s">
        <v>1024</v>
      </c>
      <c r="B71" s="119">
        <f>V!W4*V!W1*V!T5*(1+V!T6)*F!B64</f>
        <v>0</v>
      </c>
      <c r="C71" s="119">
        <f>((V!B7*V!B2*V!T15*(1+V!T16)*F!K9)+(V!E4*V!E1*V!T15*(1+V!T16)*F!E12)+V!H5*F!E71-V!H19*F!N13)*(1+V!T19)</f>
        <v>2164.2999999999997</v>
      </c>
      <c r="D71" s="119"/>
    </row>
    <row r="72" spans="1:4" x14ac:dyDescent="0.25">
      <c r="A72" s="109" t="s">
        <v>1025</v>
      </c>
      <c r="B72" s="119">
        <f>(V!H7*V!H2*V!T5*(1+V!T6)*F!H12)</f>
        <v>161.28</v>
      </c>
      <c r="C72" s="119"/>
      <c r="D72" s="119"/>
    </row>
    <row r="73" spans="1:4" x14ac:dyDescent="0.25">
      <c r="A73" s="109" t="s">
        <v>1026</v>
      </c>
      <c r="B73" s="119">
        <f>(((V!H3*V!H2*F!N10+V!K1*V!H2*V!H2)*V!T5*(1+V!T6))+(V!H6*V!H7*V!T10*(1+V!T11)*F!N10))*F!E71+(V!W15*V!W1*V!T5*(1+V!T6)+V!W2*V!W3*V!T10*(1+V!T11))*F!B64</f>
        <v>828.67200000000003</v>
      </c>
      <c r="C73" s="119">
        <f>(((V!H13*V!H2*F!N10+V!K4*V!H2*V!H2)*V!T15*(1+V!T16))+(V!T17*V!H2+V!T18*V!H6*F!N10)*V!H2)*(F!E71)*(1+V!T19)</f>
        <v>2552.6320000000001</v>
      </c>
      <c r="D73" s="119">
        <f>((V!T7*V!H2+V!T8*V!H6*F!N10)*V!H2)*F!E71</f>
        <v>376</v>
      </c>
    </row>
    <row r="75" spans="1:4" x14ac:dyDescent="0.25">
      <c r="A75" s="109" t="s">
        <v>993</v>
      </c>
      <c r="B75" s="119">
        <f>SUM(B66:B73)</f>
        <v>3095.808</v>
      </c>
      <c r="C75" s="119">
        <f>SUM(C66:C73)</f>
        <v>15482.346499999998</v>
      </c>
      <c r="D75" s="119">
        <f>SUM(D66:D73)</f>
        <v>721</v>
      </c>
    </row>
    <row r="77" spans="1:4" x14ac:dyDescent="0.25">
      <c r="A77" s="109" t="s">
        <v>1027</v>
      </c>
      <c r="B77" s="119">
        <f>(B10+B23+B31+B53+B63+B75)</f>
        <v>28179.808000000001</v>
      </c>
      <c r="C77" s="119">
        <f>(C10+C23+C31+C53+C63+C75)</f>
        <v>26577.776499999996</v>
      </c>
      <c r="D77" s="119">
        <f>(D10+D23+D31+D46+D53+D63+D75)</f>
        <v>109386.41800000001</v>
      </c>
    </row>
    <row r="79" spans="1:4" x14ac:dyDescent="0.25">
      <c r="A79" s="109" t="s">
        <v>1028</v>
      </c>
      <c r="D79" s="119">
        <f>B77+C77+D77</f>
        <v>164144.0025</v>
      </c>
    </row>
    <row r="83" spans="1:4" x14ac:dyDescent="0.25">
      <c r="A83" s="109" t="s">
        <v>1029</v>
      </c>
    </row>
    <row r="84" spans="1:4" x14ac:dyDescent="0.25">
      <c r="A84" s="109" t="s">
        <v>1030</v>
      </c>
      <c r="B84" s="119">
        <f>(V!Q21*V!Q2*V!T10*(1+V!T11)*V!T58*F!E58)+(V!Q1*V!Q2*V!T10*(1+V!T11)*F!T1)+(V!W9*V!W1*V!T10*(1+V!T11)*V!T58*F!B64)</f>
        <v>0</v>
      </c>
      <c r="C84" s="119"/>
      <c r="D84" s="119"/>
    </row>
    <row r="85" spans="1:4" x14ac:dyDescent="0.25">
      <c r="A85" s="109" t="s">
        <v>1031</v>
      </c>
      <c r="B85" s="119">
        <f>(V!Q1*V!Q2*V!T10*(1+V!T11)*V!T58*F!T2)+(V!Q1*V!Q2*V!T10*(1+V!T11)*V!T58*F!B43)</f>
        <v>3686.4</v>
      </c>
      <c r="C85" s="119"/>
    </row>
    <row r="86" spans="1:4" x14ac:dyDescent="0.25">
      <c r="A86" s="109" t="s">
        <v>1032</v>
      </c>
      <c r="B86" s="119">
        <f>(V!Q34*V!Q2*V!T10*(1+V!T11)*V!T59*F!E54)</f>
        <v>0</v>
      </c>
      <c r="C86" s="119"/>
      <c r="D86" s="119"/>
    </row>
    <row r="87" spans="1:4" x14ac:dyDescent="0.25">
      <c r="A87" s="109" t="s">
        <v>1033</v>
      </c>
      <c r="B87" s="119">
        <f>(V!Q3*V!Q2*V!T10*(1+V!T11)*V!T59*F!T40)+(V!Q3*V!Q2*V!T10*(1+V!T11)*V!T59*F!B43)</f>
        <v>2056.3199999999997</v>
      </c>
      <c r="C87" s="119"/>
      <c r="D87" s="119"/>
    </row>
    <row r="88" spans="1:4" x14ac:dyDescent="0.25">
      <c r="A88" s="109" t="s">
        <v>1034</v>
      </c>
      <c r="B88" s="119">
        <f>(V!Q3*V!T10*(1+V!T11)*V!T60*F!E54)+(V!W14*V!W1*V!T10*(1+V!T11)*V!T60*F!B64)</f>
        <v>0</v>
      </c>
      <c r="C88" s="119"/>
      <c r="D88" s="119"/>
    </row>
    <row r="89" spans="1:4" x14ac:dyDescent="0.25">
      <c r="A89" s="109" t="s">
        <v>1035</v>
      </c>
      <c r="B89" s="119">
        <f>(V!Q5*V!Q2*V!T10*(1+V!T11)*V!T60*F!T7)+(V!Q23*V!Q2*V!T10*(1+V!T11)*V!T60*F!B43)</f>
        <v>1036.8</v>
      </c>
      <c r="C89" s="119"/>
    </row>
    <row r="90" spans="1:4" x14ac:dyDescent="0.25">
      <c r="A90" s="109" t="s">
        <v>1036</v>
      </c>
      <c r="B90" s="119">
        <f>(V!Q15*V!Q2*V!T10*(1+V!T11)*F!T4)+(V!Q3*V!Q2*V!T10*(1+V!T11)*F!E54*4)+(V!Q5*V!Q2*V!T10*(1+V!T11)*F!E56*4)+(0*V!Q5*V!Q2*V!T10*(1+V!T11)*F!E56*4)</f>
        <v>691.2</v>
      </c>
      <c r="C90" s="119"/>
      <c r="D90" s="119">
        <f>(V!Q6*F!T5)+(V!Q33*(F!E54+F!H56))</f>
        <v>0</v>
      </c>
    </row>
    <row r="91" spans="1:4" x14ac:dyDescent="0.25">
      <c r="A91" s="109" t="s">
        <v>1037</v>
      </c>
      <c r="B91" s="119"/>
      <c r="C91" s="119"/>
      <c r="D91" s="119">
        <f>(V!Q37*F!T46)</f>
        <v>1500</v>
      </c>
    </row>
    <row r="93" spans="1:4" x14ac:dyDescent="0.25">
      <c r="A93" s="109" t="s">
        <v>993</v>
      </c>
      <c r="B93" s="119">
        <f>SUM(B84:B91)</f>
        <v>7470.7199999999993</v>
      </c>
      <c r="C93" s="119">
        <f>SUM(C84:C91)</f>
        <v>0</v>
      </c>
      <c r="D93" s="119">
        <f>SUM(D84:D91)</f>
        <v>1500</v>
      </c>
    </row>
    <row r="95" spans="1:4" x14ac:dyDescent="0.25">
      <c r="A95" s="109" t="s">
        <v>1038</v>
      </c>
    </row>
    <row r="96" spans="1:4" x14ac:dyDescent="0.25">
      <c r="A96" s="109" t="s">
        <v>1039</v>
      </c>
      <c r="B96" s="119">
        <f>(V!Q23*V!Q3*V!T10*(1+V!T11)*F!T8)</f>
        <v>345.6</v>
      </c>
      <c r="C96" s="119"/>
      <c r="D96" s="119"/>
    </row>
    <row r="97" spans="1:4" x14ac:dyDescent="0.25">
      <c r="A97" s="109" t="s">
        <v>1040</v>
      </c>
      <c r="B97" s="119">
        <f>(V!Q3*V!Q2*V!T5*(1+V!T6)*F!T10)</f>
        <v>96</v>
      </c>
      <c r="C97" s="119"/>
      <c r="D97" s="119"/>
    </row>
    <row r="98" spans="1:4" x14ac:dyDescent="0.25">
      <c r="A98" s="109" t="s">
        <v>1041</v>
      </c>
      <c r="B98" s="119">
        <f>(V!Q2*V!Q2*V!T5*(1+V!T6)*F!T10)</f>
        <v>48</v>
      </c>
      <c r="C98" s="119"/>
      <c r="D98" s="119"/>
    </row>
    <row r="99" spans="1:4" x14ac:dyDescent="0.25">
      <c r="A99" s="109" t="s">
        <v>1042</v>
      </c>
      <c r="B99" s="119">
        <f>((V!Q7+V!Q1*F!T62)*V!Q2*V!T10*(1+V!T11)*F!T56)</f>
        <v>288</v>
      </c>
      <c r="C99" s="119">
        <f>((V!Q27*V!Q3*F!T43*F!T56+V!Q9*F!T61+V!Q3*F!T62+V!K5*V!Q3*V!Q2*F!T10)*V!T20*(1+V!T21)+((V!T22*V!Q2+(V!T23*V!Q24*F!T43*F!T12*F!T56*V!Q3))*F!T10)+(V!Q11*F!T44)+(V!Q36*F!B43)+(V!Q11*F!T61))*(1+V!T24)+((V!Q35*V!Q9*(1+F!G43)+V!K5*V!Q3*V!Q2)*(V!T20)*(1+V!T21)+(V!T22*V!Q2+V!T23*V!Q9*V!Q9*(1+F!G43)))*(1+V!T24)*(F!E43)+((V!Q16*V!Q2+V!K5*V!Q2*V!Q2)*V!T20*(1+V!T21)+(V!T22*V!Q2+V!T23*V!Q24)*V!Q2+V!Q25)*F!T48*F!E28*(1+V!T24)</f>
        <v>9052.7999999999993</v>
      </c>
      <c r="D99" s="119"/>
    </row>
    <row r="100" spans="1:4" x14ac:dyDescent="0.25">
      <c r="A100" s="109" t="s">
        <v>1043</v>
      </c>
      <c r="B100" s="119">
        <f>(V!Q9*V!Q2*V!T10*(1+V!T11)*F!T13*V!Q26)</f>
        <v>37.317312000000001</v>
      </c>
      <c r="C100" s="119">
        <f>(V!Q9*V!Q3*V!T20*(1+V!T21)*F!T13*(1+V!T24)*V!Q26)</f>
        <v>187.75272599999997</v>
      </c>
      <c r="D100" s="119"/>
    </row>
    <row r="101" spans="1:4" x14ac:dyDescent="0.25">
      <c r="A101" s="109" t="s">
        <v>1044</v>
      </c>
      <c r="B101" s="119">
        <f>(V!Q9*V!Q2*V!T10*(1+V!T11)*F!T11*V!Q26)</f>
        <v>35.122176000000003</v>
      </c>
      <c r="C101" s="119">
        <f>(V!Q9*V!Q3*V!T20*(1+V!T21)*F!T11+V!Q9*V!Q3*V!T20*(1+V!T21)*F!B53*F!E28+V!Q12*F!T13)*(1+V!T24)*V!Q26</f>
        <v>434.84653299999997</v>
      </c>
      <c r="D101" s="119"/>
    </row>
    <row r="102" spans="1:4" x14ac:dyDescent="0.25">
      <c r="A102" s="109" t="s">
        <v>1045</v>
      </c>
      <c r="B102" s="119"/>
      <c r="C102" s="119">
        <f>(V!Q3*V!Q2*V!T15*(1+V!T16)*F!T55*(1+V!T19)+(V!Q7*V!Q2*V!T20*(1+V!T21)*F!T55+V!Q14*F!T13)*(1+V!T24))+(V!Q3*V!Q2*V!T20*(1+V!T21)*F!T48*F!E28*(1+V!T24))</f>
        <v>1013.4949999999999</v>
      </c>
      <c r="D102" s="119"/>
    </row>
    <row r="103" spans="1:4" x14ac:dyDescent="0.25">
      <c r="A103" s="109" t="s">
        <v>1046</v>
      </c>
      <c r="B103" s="119">
        <f>(V!Q3*V!Q2*V!T5*(1+V!T6)*F!T14)</f>
        <v>96</v>
      </c>
      <c r="C103" s="119"/>
      <c r="D103" s="119"/>
    </row>
    <row r="105" spans="1:4" x14ac:dyDescent="0.25">
      <c r="A105" s="109" t="s">
        <v>993</v>
      </c>
      <c r="B105" s="119">
        <f>SUM(B96:B103)</f>
        <v>946.03948800000001</v>
      </c>
      <c r="C105" s="119">
        <f>SUM(C96:C103)</f>
        <v>10688.894259000001</v>
      </c>
      <c r="D105" s="119">
        <f>SUM(D96:D103)</f>
        <v>0</v>
      </c>
    </row>
    <row r="107" spans="1:4" x14ac:dyDescent="0.25">
      <c r="A107" s="109" t="s">
        <v>1047</v>
      </c>
    </row>
    <row r="108" spans="1:4" x14ac:dyDescent="0.25">
      <c r="A108" s="109" t="s">
        <v>1039</v>
      </c>
      <c r="B108" s="119">
        <f>(V!Q23*V!Q3*V!T10*(1+V!T11)*F!E21*0.3811)</f>
        <v>0</v>
      </c>
      <c r="C108" s="119"/>
      <c r="D108" s="119"/>
    </row>
    <row r="109" spans="1:4" x14ac:dyDescent="0.25">
      <c r="A109" s="109" t="s">
        <v>1040</v>
      </c>
      <c r="B109" s="119">
        <f>(V!Q3*V!Q2*V!T5*(1+V!T6)*F!E21*0.3811)</f>
        <v>0</v>
      </c>
      <c r="C109" s="119"/>
      <c r="D109" s="119"/>
    </row>
    <row r="110" spans="1:4" x14ac:dyDescent="0.25">
      <c r="A110" s="109" t="s">
        <v>1048</v>
      </c>
      <c r="B110" s="119">
        <f>(V!Q2*V!Q2*V!T5*(1+V!T6)*F!E21*0.3811)</f>
        <v>0</v>
      </c>
      <c r="C110" s="119"/>
      <c r="D110" s="119"/>
    </row>
    <row r="111" spans="1:4" x14ac:dyDescent="0.25">
      <c r="A111" s="109" t="s">
        <v>1049</v>
      </c>
      <c r="B111" s="119">
        <f>(V!Q7*V!Q2*V!T10*(1+V!T11)*F!E21*0.3811)</f>
        <v>0</v>
      </c>
      <c r="C111" s="119">
        <f>((V!Q4*V!Q9+(V!K5*V!Q9*V!Q2)*F!K28)*V!T20*(1+V!T21)+(V!T22*V!Q2)+(V!T23*V!Q30*V!Q9)+(V!Q32+V!Q12))*F!E21*0.3811*(1+V!T24)</f>
        <v>0</v>
      </c>
      <c r="D111" s="119"/>
    </row>
    <row r="112" spans="1:4" x14ac:dyDescent="0.25">
      <c r="A112" s="109" t="s">
        <v>1050</v>
      </c>
      <c r="B112" s="119">
        <f>(V!Q3*V!Q2*V!T10*(1+V!T11)*F!E21*0.2048)</f>
        <v>0</v>
      </c>
      <c r="C112" s="119">
        <f>(V!Q15*V!Q2*V!T20*(1+V!T21)*F!E21*0.2048)*(1+V!T24)</f>
        <v>0</v>
      </c>
      <c r="D112" s="119"/>
    </row>
    <row r="113" spans="1:4" x14ac:dyDescent="0.25">
      <c r="A113" s="109" t="s">
        <v>1051</v>
      </c>
      <c r="B113" s="119"/>
      <c r="C113" s="119">
        <f>(V!Q3*V!Q2*V!T15*(1+V!T16)*(1+V!T19)+V!Q19*V!Q2*V!T20*(1+V!T21)*(1+V!T24))*F!E21*0.3811</f>
        <v>0</v>
      </c>
      <c r="D113" s="119">
        <f>V!Q14*F!E21*0.3811</f>
        <v>0</v>
      </c>
    </row>
    <row r="114" spans="1:4" x14ac:dyDescent="0.25">
      <c r="A114" s="109" t="s">
        <v>1052</v>
      </c>
      <c r="B114" s="119">
        <f>(V!Q3*V!Q2*V!T5*(1+V!T6)*F!E21*0.3811)</f>
        <v>0</v>
      </c>
      <c r="C114" s="119"/>
      <c r="D114" s="119"/>
    </row>
    <row r="116" spans="1:4" x14ac:dyDescent="0.25">
      <c r="A116" s="109" t="s">
        <v>993</v>
      </c>
      <c r="B116" s="119">
        <f>SUM(B108:B114)</f>
        <v>0</v>
      </c>
      <c r="C116" s="119">
        <f>SUM(C108:C114)</f>
        <v>0</v>
      </c>
      <c r="D116" s="119">
        <f>SUM(D108:D114)</f>
        <v>0</v>
      </c>
    </row>
    <row r="117" spans="1:4" x14ac:dyDescent="0.25">
      <c r="B117" s="119"/>
      <c r="C117" s="119"/>
      <c r="D117" s="119"/>
    </row>
    <row r="118" spans="1:4" x14ac:dyDescent="0.25">
      <c r="A118" s="109" t="s">
        <v>1053</v>
      </c>
      <c r="B118" s="119"/>
      <c r="C118" s="119"/>
      <c r="D118" s="119"/>
    </row>
    <row r="119" spans="1:4" x14ac:dyDescent="0.25">
      <c r="A119" s="109" t="s">
        <v>1039</v>
      </c>
      <c r="B119" s="119">
        <f>(V!Q23*V!Q3*V!T10*(1+V!T11)*F!E21)</f>
        <v>0</v>
      </c>
      <c r="C119" s="119"/>
      <c r="D119" s="119"/>
    </row>
    <row r="120" spans="1:4" x14ac:dyDescent="0.25">
      <c r="A120" s="109" t="s">
        <v>1040</v>
      </c>
      <c r="B120" s="119">
        <f>(V!Q3*V!Q2*V!T5*(1+V!T6)*F!E21)</f>
        <v>0</v>
      </c>
      <c r="C120" s="119"/>
      <c r="D120" s="119"/>
    </row>
    <row r="121" spans="1:4" x14ac:dyDescent="0.25">
      <c r="A121" s="109" t="s">
        <v>1048</v>
      </c>
      <c r="B121" s="119">
        <f>(V!Q2*V!Q2*V!T5*(1+V!T6)*F!E21)</f>
        <v>0</v>
      </c>
      <c r="C121" s="119"/>
      <c r="D121" s="119"/>
    </row>
    <row r="122" spans="1:4" x14ac:dyDescent="0.25">
      <c r="A122" s="109" t="s">
        <v>1054</v>
      </c>
      <c r="B122" s="119">
        <f>(V!Q9*V!Q2*V!T10*(1+V!T11)*F!E21)</f>
        <v>0</v>
      </c>
      <c r="C122" s="119">
        <f>((V!Q22*V!Q9+V!K5*V!Q9*V!Q2)*V!T20*(1+V!T21)+(V!T22*V!Q9*V!Q2)+(V!T23*V!Q3*V!Q9)+V!Q6)*F!E21*(1+V!T24)</f>
        <v>0</v>
      </c>
      <c r="D122" s="119"/>
    </row>
    <row r="123" spans="1:4" x14ac:dyDescent="0.25">
      <c r="A123" s="109" t="s">
        <v>1051</v>
      </c>
      <c r="B123" s="119"/>
      <c r="C123" s="119">
        <f>(V!Q3*V!Q2*V!T15*(1+V!T16)*(1+V!T19)+V!Q19*V!Q2*V!T20*(1+V!T21)*(1+V!T24))*F!E21</f>
        <v>0</v>
      </c>
      <c r="D123" s="119">
        <f>V!Q14*F!E21</f>
        <v>0</v>
      </c>
    </row>
    <row r="124" spans="1:4" x14ac:dyDescent="0.25">
      <c r="A124" s="109" t="s">
        <v>1052</v>
      </c>
      <c r="B124" s="119">
        <f>(V!Q3*V!Q2*V!T5*(1+V!T6)*F!E21)</f>
        <v>0</v>
      </c>
      <c r="C124" s="119"/>
      <c r="D124" s="119"/>
    </row>
    <row r="125" spans="1:4" x14ac:dyDescent="0.25">
      <c r="B125" s="119"/>
      <c r="C125" s="119"/>
      <c r="D125" s="119"/>
    </row>
    <row r="126" spans="1:4" x14ac:dyDescent="0.25">
      <c r="A126" s="109" t="s">
        <v>993</v>
      </c>
      <c r="B126" s="119">
        <f>SUM(B119:B124)</f>
        <v>0</v>
      </c>
      <c r="C126" s="119">
        <f>SUM(C119:C124)</f>
        <v>0</v>
      </c>
      <c r="D126" s="119">
        <f>SUM(D119:D124)</f>
        <v>0</v>
      </c>
    </row>
    <row r="128" spans="1:4" x14ac:dyDescent="0.25">
      <c r="A128" s="109" t="s">
        <v>1055</v>
      </c>
    </row>
    <row r="129" spans="1:4" x14ac:dyDescent="0.25">
      <c r="A129" s="109" t="s">
        <v>1041</v>
      </c>
      <c r="B129" s="119">
        <f>(V!Q2*V!Q2*V!T5*(1+V!T6)*F!T58)</f>
        <v>144</v>
      </c>
      <c r="C129" s="119"/>
      <c r="D129" s="119"/>
    </row>
    <row r="130" spans="1:4" x14ac:dyDescent="0.25">
      <c r="A130" s="109" t="s">
        <v>1056</v>
      </c>
      <c r="B130" s="119">
        <f>(V!Q9*V!Q2*V!T10*(1+V!T11)*F!T19)+(V!Q8*V!Q3*V!T10*(1+V!T11)*F!E43)+(V!Q2*V!Q2*V!T10*(1+V!T11)*F!E21*3)+(V!Q2*V!Q2*V!T10*(1+V!T11)*F!E54*4)</f>
        <v>311.04000000000002</v>
      </c>
      <c r="C130" s="119"/>
      <c r="D130" s="119">
        <f>(V!Q11*F!T45)+((V!Q33*V!T60+V!Q6+V!Q28)*F!B43)+(V!Q25*3*F!E21)</f>
        <v>1125</v>
      </c>
    </row>
    <row r="131" spans="1:4" x14ac:dyDescent="0.25">
      <c r="A131" s="109" t="s">
        <v>1043</v>
      </c>
      <c r="B131" s="119">
        <f>(V!Q9*V!Q2*V!T10*(1+V!T11)*F!T21)+(V!Q8*V!Q2*V!T10*(1+V!T11)*F!E21*0.3811)</f>
        <v>224.64000000000001</v>
      </c>
      <c r="C131" s="119"/>
      <c r="D131" s="119"/>
    </row>
    <row r="132" spans="1:4" x14ac:dyDescent="0.25">
      <c r="A132" s="109" t="s">
        <v>1044</v>
      </c>
      <c r="B132" s="119">
        <f>(V!Q2*V!Q3*V!T10*(1+V!T11)*F!T22)+(V!Q1*V!Q2*V!T10*(1+V!T11)*F!E21*0.3811)</f>
        <v>120.95999999999998</v>
      </c>
      <c r="C132" s="119"/>
      <c r="D132" s="119">
        <f>(V!Q14*F!T20)</f>
        <v>112.5</v>
      </c>
    </row>
    <row r="133" spans="1:4" x14ac:dyDescent="0.25">
      <c r="A133" s="109" t="s">
        <v>1057</v>
      </c>
      <c r="B133" s="119">
        <f>(V!Q8*V!Q2*V!T5*(1+V!T6)*F!T55*3)+(V!Q8*V!Q2*V!T10*(1+V!T11)*F!T55*3)+((V!Q2*V!Q2*V!T5*(1+V!T6))+(V!Q3*V!Q2*V!T10*(1+V!T11)))*3*F!E21</f>
        <v>622.07999999999993</v>
      </c>
      <c r="C133" s="119"/>
      <c r="D133" s="119">
        <f>(V!Q16*F!T20)+(V!Q16*F!E21)</f>
        <v>45</v>
      </c>
    </row>
    <row r="135" spans="1:4" x14ac:dyDescent="0.25">
      <c r="A135" s="109" t="s">
        <v>993</v>
      </c>
      <c r="B135" s="119">
        <f>SUM(B129:B133)</f>
        <v>1422.72</v>
      </c>
      <c r="C135" s="119">
        <f>SUM(C129:C133)</f>
        <v>0</v>
      </c>
      <c r="D135" s="119">
        <f>SUM(D129:D133)</f>
        <v>1282.5</v>
      </c>
    </row>
    <row r="137" spans="1:4" x14ac:dyDescent="0.25">
      <c r="A137" s="109" t="s">
        <v>1058</v>
      </c>
    </row>
    <row r="138" spans="1:4" x14ac:dyDescent="0.25">
      <c r="A138" s="109" t="s">
        <v>1059</v>
      </c>
      <c r="B138" s="119">
        <f>(V!Q17*V!Q2*V!T10*(1+V!T11)*F!T24)+(V!Q1*V!Q2*V!T10*(1+V!T11)*F!T25)</f>
        <v>5760</v>
      </c>
      <c r="C138" s="119"/>
      <c r="D138" s="119"/>
    </row>
    <row r="139" spans="1:4" x14ac:dyDescent="0.25">
      <c r="A139" s="109" t="s">
        <v>1060</v>
      </c>
      <c r="B139" s="119">
        <f>(V!Q2*V!Q2*V!T5*(1+V!T6)*F!T26)+(V!Q17*V!Q2*V!T5*(1+V!T6)*F!T27)+(V!Q9*V!Q2*V!T10*(1+V!T11)*F!T28)+(V!Q2*V!Q2*V!T10*(1+V!T11)*F!T27)+(V!W1*V!W9*Start!D33*V!T10*(1+V!T11)*V!T60*F!B64)</f>
        <v>1468.8000000000002</v>
      </c>
      <c r="C139" s="119"/>
      <c r="D139" s="119"/>
    </row>
    <row r="140" spans="1:4" x14ac:dyDescent="0.25">
      <c r="A140" s="109" t="s">
        <v>1061</v>
      </c>
      <c r="B140" s="119">
        <f>(V!Q2*V!Q2*V!T5*(1+V!T6)*F!T29)+(V!Q1*V!Q2*V!T5*(1+V!T6)*F!T30)+(V!Q9*V!Q2*V!T10*(1+V!T11)*F!T31)+(V!Q3*V!Q2*V!T10*(1+V!T11)*F!T41)+((V!W10*V!W1*V!T5*(1+V!T6))+(V!W2*V!W1*V!T10*(1+V!T11))*V!T61*F!B64)</f>
        <v>676.8</v>
      </c>
      <c r="C140" s="119"/>
      <c r="D140" s="119">
        <f>(V!Q13*F!T32+V!Q7*F!T33)</f>
        <v>200</v>
      </c>
    </row>
    <row r="142" spans="1:4" x14ac:dyDescent="0.25">
      <c r="A142" s="109" t="s">
        <v>993</v>
      </c>
      <c r="B142" s="119">
        <f>SUM(B138:B140)</f>
        <v>7905.6</v>
      </c>
      <c r="C142" s="119">
        <f>SUM(C138:C140)</f>
        <v>0</v>
      </c>
      <c r="D142" s="119">
        <f>SUM(D138:D140)</f>
        <v>200</v>
      </c>
    </row>
    <row r="144" spans="1:4" x14ac:dyDescent="0.25">
      <c r="A144" s="109" t="s">
        <v>1062</v>
      </c>
    </row>
    <row r="145" spans="1:6" x14ac:dyDescent="0.25">
      <c r="A145" s="109" t="s">
        <v>1063</v>
      </c>
      <c r="B145" s="119">
        <f>((V!Q5*V!Q2*F!T49+V!K1*V!Q2*V!Q2*F!E71)*V!T5*(1+V!T6)+(V!Q3*V!Q2*V!T5*(1+V!T6)*F!T36)+(V!W1*V!W2*V!T5*(1+V!T6)*F!Q35))+(V!Q9*V!Q9*V!T10*(1+V!T11)*F!T49+V!Q2*V!Q9*V!T10*(1+V!T11)*F!T36+(V!W1*V!W3*V!T10*(1+V!T11)*F!Q35))</f>
        <v>1258.08</v>
      </c>
      <c r="C145" s="119"/>
      <c r="D145" s="119">
        <f>(V!T7*V!Q2+V!T8*V!Q29*F!T50)*V!Q2*F!E71</f>
        <v>290</v>
      </c>
    </row>
    <row r="146" spans="1:6" x14ac:dyDescent="0.25">
      <c r="A146" s="109" t="s">
        <v>1064</v>
      </c>
      <c r="B146" s="119">
        <f>(V!Q18*V!Q2*V!T5*(1+V!T6)*F!T16)+(V!Q5*V!Q2*V!T5*(1+V!T6)*F!T37)+(V!W4*V!W1*V!T5*(1+V!T6)*F!B64)</f>
        <v>816</v>
      </c>
      <c r="C146" s="119"/>
      <c r="D146" s="119">
        <f>V!Q14</f>
        <v>50</v>
      </c>
    </row>
    <row r="147" spans="1:6" x14ac:dyDescent="0.25">
      <c r="A147" s="109" t="s">
        <v>1065</v>
      </c>
      <c r="B147" s="119">
        <f>(V!Q19*V!Q2*V!T10*(1+V!T11)*F!T57)+(V!Q9*V!Q2*V!T10*(1+V!T11)*F!T47)+(V!W4*V!W1*V!T10*(1+V!T11)*F!B64)</f>
        <v>391.68</v>
      </c>
      <c r="C147" s="119"/>
      <c r="D147" s="119">
        <f>(F!N20+V!T39*0.3*F!B43+F!B54*V!T36+F!B56*V!T37+(V!T41+V!T42)*Start!D33)*0.1+(F!T38+F!B55*V!T37)*0.05+(V!Q25*F!T62)</f>
        <v>2530</v>
      </c>
    </row>
    <row r="148" spans="1:6" x14ac:dyDescent="0.25">
      <c r="A148" s="109" t="s">
        <v>1066</v>
      </c>
      <c r="B148" s="119">
        <f>(V!Q16*V!T10*(1+V!T11)*F!T59)+(V!W1*V!W11*V!T10*(1+V!T11)*F!B64)</f>
        <v>483.84</v>
      </c>
      <c r="C148" s="119"/>
      <c r="D148" s="119"/>
    </row>
    <row r="149" spans="1:6" x14ac:dyDescent="0.25">
      <c r="B149" s="119"/>
      <c r="C149" s="119"/>
      <c r="D149" s="119"/>
    </row>
    <row r="150" spans="1:6" x14ac:dyDescent="0.25">
      <c r="A150" s="109" t="s">
        <v>993</v>
      </c>
      <c r="B150" s="119">
        <f>SUM(B145:B148)</f>
        <v>2949.6</v>
      </c>
      <c r="C150" s="119">
        <f>SUM(C145:C148)</f>
        <v>0</v>
      </c>
      <c r="D150" s="119">
        <f>SUM(D145:D148)</f>
        <v>2870</v>
      </c>
    </row>
    <row r="151" spans="1:6" x14ac:dyDescent="0.25">
      <c r="B151" s="119"/>
      <c r="C151" s="119"/>
      <c r="D151" s="119"/>
    </row>
    <row r="152" spans="1:6" x14ac:dyDescent="0.25">
      <c r="A152" s="109" t="s">
        <v>1067</v>
      </c>
      <c r="B152" s="119">
        <f>0.1424*B77</f>
        <v>4012.8046592000001</v>
      </c>
      <c r="C152" s="119">
        <f>0.1424*C77</f>
        <v>3784.6753735999996</v>
      </c>
      <c r="D152" s="119">
        <f>0.1424*D77</f>
        <v>15576.625923200001</v>
      </c>
    </row>
    <row r="154" spans="1:6" x14ac:dyDescent="0.25">
      <c r="A154" s="109" t="s">
        <v>1068</v>
      </c>
      <c r="B154" s="119">
        <f>B93+B105+B116+B126+B135+B142+B150+B152</f>
        <v>24707.484147199997</v>
      </c>
      <c r="C154" s="119">
        <f>C93+C105+C116+C126+C135+C142+C150+C152</f>
        <v>14473.5696326</v>
      </c>
      <c r="D154" s="119">
        <f>D93+D105+D116+D126+D135+D142+D150+D152</f>
        <v>21429.125923200001</v>
      </c>
    </row>
    <row r="156" spans="1:6" x14ac:dyDescent="0.25">
      <c r="A156" s="109" t="s">
        <v>1069</v>
      </c>
      <c r="C156" s="119"/>
      <c r="D156" s="119">
        <f>B154+C154+D154</f>
        <v>60610.179703000002</v>
      </c>
      <c r="F156" s="119"/>
    </row>
    <row r="161" spans="1:5" x14ac:dyDescent="0.25">
      <c r="A161" s="109" t="s">
        <v>1070</v>
      </c>
    </row>
    <row r="163" spans="1:5" x14ac:dyDescent="0.25">
      <c r="A163" s="109" t="s">
        <v>1071</v>
      </c>
      <c r="B163" s="124" t="s">
        <v>967</v>
      </c>
      <c r="C163" s="124" t="s">
        <v>968</v>
      </c>
      <c r="D163" s="124" t="s">
        <v>1072</v>
      </c>
      <c r="E163" s="114" t="s">
        <v>1073</v>
      </c>
    </row>
    <row r="164" spans="1:5" x14ac:dyDescent="0.25">
      <c r="A164" s="109" t="s">
        <v>1074</v>
      </c>
      <c r="B164" s="119">
        <f>B10</f>
        <v>3177.6</v>
      </c>
      <c r="C164" s="119">
        <f>C10</f>
        <v>0</v>
      </c>
      <c r="D164" s="119">
        <f>D10</f>
        <v>376</v>
      </c>
      <c r="E164" s="119">
        <f>SUM(B164:D164)</f>
        <v>3553.6</v>
      </c>
    </row>
    <row r="165" spans="1:5" x14ac:dyDescent="0.25">
      <c r="A165" s="109" t="s">
        <v>1075</v>
      </c>
      <c r="B165" s="119">
        <f>B23</f>
        <v>12908.8</v>
      </c>
      <c r="C165" s="119">
        <f>C23</f>
        <v>0</v>
      </c>
      <c r="D165" s="119">
        <f>D23</f>
        <v>3080.4180000000001</v>
      </c>
      <c r="E165" s="119">
        <f t="shared" ref="E165:E171" si="0">SUM(B165:D165)</f>
        <v>15989.217999999999</v>
      </c>
    </row>
    <row r="166" spans="1:5" x14ac:dyDescent="0.25">
      <c r="A166" s="109" t="s">
        <v>1076</v>
      </c>
      <c r="B166" s="119">
        <f>B31</f>
        <v>0</v>
      </c>
      <c r="C166" s="119">
        <f>C31</f>
        <v>0</v>
      </c>
      <c r="D166" s="119">
        <f>D31</f>
        <v>22065</v>
      </c>
      <c r="E166" s="119">
        <f t="shared" si="0"/>
        <v>22065</v>
      </c>
    </row>
    <row r="167" spans="1:5" x14ac:dyDescent="0.25">
      <c r="A167" s="109" t="s">
        <v>1077</v>
      </c>
      <c r="B167" s="119">
        <f>B46</f>
        <v>0</v>
      </c>
      <c r="C167" s="119">
        <f>C46</f>
        <v>0</v>
      </c>
      <c r="D167" s="119">
        <f>D46</f>
        <v>70278</v>
      </c>
      <c r="E167" s="119">
        <f t="shared" si="0"/>
        <v>70278</v>
      </c>
    </row>
    <row r="168" spans="1:5" x14ac:dyDescent="0.25">
      <c r="A168" s="109" t="s">
        <v>1078</v>
      </c>
      <c r="B168" s="119">
        <f>B53</f>
        <v>6733.4400000000005</v>
      </c>
      <c r="C168" s="119">
        <f>C53</f>
        <v>0</v>
      </c>
      <c r="D168" s="119">
        <f>D53</f>
        <v>12281</v>
      </c>
      <c r="E168" s="119">
        <f t="shared" si="0"/>
        <v>19014.440000000002</v>
      </c>
    </row>
    <row r="169" spans="1:5" x14ac:dyDescent="0.25">
      <c r="A169" s="109" t="s">
        <v>1079</v>
      </c>
      <c r="B169" s="119">
        <f>B63</f>
        <v>2264.1600000000003</v>
      </c>
      <c r="C169" s="119">
        <f>C63</f>
        <v>11095.429999999998</v>
      </c>
      <c r="D169" s="119">
        <f>D63</f>
        <v>585</v>
      </c>
      <c r="E169" s="119">
        <f t="shared" si="0"/>
        <v>13944.589999999998</v>
      </c>
    </row>
    <row r="170" spans="1:5" x14ac:dyDescent="0.25">
      <c r="A170" s="109" t="s">
        <v>1080</v>
      </c>
      <c r="B170" s="125">
        <f>B75</f>
        <v>3095.808</v>
      </c>
      <c r="C170" s="125">
        <f>C75</f>
        <v>15482.346499999998</v>
      </c>
      <c r="D170" s="125">
        <f>D75</f>
        <v>721</v>
      </c>
      <c r="E170" s="125">
        <f t="shared" si="0"/>
        <v>19299.154499999997</v>
      </c>
    </row>
    <row r="171" spans="1:5" x14ac:dyDescent="0.25">
      <c r="B171" s="119">
        <f>SUM(B164:B170)</f>
        <v>28179.808000000001</v>
      </c>
      <c r="C171" s="119">
        <f>SUM(C164:C170)</f>
        <v>26577.776499999996</v>
      </c>
      <c r="D171" s="119">
        <f>SUM(D164:D170)</f>
        <v>109386.41800000001</v>
      </c>
      <c r="E171" s="119">
        <f t="shared" si="0"/>
        <v>164144.0025</v>
      </c>
    </row>
    <row r="173" spans="1:5" x14ac:dyDescent="0.25">
      <c r="A173" s="109" t="s">
        <v>1081</v>
      </c>
    </row>
    <row r="174" spans="1:5" x14ac:dyDescent="0.25">
      <c r="A174" s="109" t="s">
        <v>1082</v>
      </c>
      <c r="B174" s="119">
        <f>B93</f>
        <v>7470.7199999999993</v>
      </c>
      <c r="C174" s="119">
        <f>C93</f>
        <v>0</v>
      </c>
      <c r="D174" s="119">
        <f>D93</f>
        <v>1500</v>
      </c>
      <c r="E174" s="119">
        <f t="shared" ref="E174:E181" si="1">SUM(B174:D174)</f>
        <v>8970.7199999999993</v>
      </c>
    </row>
    <row r="175" spans="1:5" x14ac:dyDescent="0.25">
      <c r="A175" s="109" t="s">
        <v>1083</v>
      </c>
      <c r="B175" s="119">
        <f>B105</f>
        <v>946.03948800000001</v>
      </c>
      <c r="C175" s="119">
        <f>C105</f>
        <v>10688.894259000001</v>
      </c>
      <c r="D175" s="119">
        <f>D105</f>
        <v>0</v>
      </c>
      <c r="E175" s="119">
        <f t="shared" si="1"/>
        <v>11634.933747000001</v>
      </c>
    </row>
    <row r="176" spans="1:5" x14ac:dyDescent="0.25">
      <c r="A176" s="109" t="s">
        <v>1084</v>
      </c>
      <c r="B176" s="119">
        <f>B116</f>
        <v>0</v>
      </c>
      <c r="C176" s="119">
        <f>C116</f>
        <v>0</v>
      </c>
      <c r="D176" s="119">
        <f>D116</f>
        <v>0</v>
      </c>
      <c r="E176" s="119">
        <f t="shared" si="1"/>
        <v>0</v>
      </c>
    </row>
    <row r="177" spans="1:5" x14ac:dyDescent="0.25">
      <c r="A177" s="109" t="s">
        <v>1085</v>
      </c>
      <c r="B177" s="119">
        <f>B126</f>
        <v>0</v>
      </c>
      <c r="C177" s="119">
        <f>C126</f>
        <v>0</v>
      </c>
      <c r="D177" s="119">
        <f>D126</f>
        <v>0</v>
      </c>
      <c r="E177" s="119">
        <f t="shared" si="1"/>
        <v>0</v>
      </c>
    </row>
    <row r="178" spans="1:5" x14ac:dyDescent="0.25">
      <c r="A178" s="109" t="s">
        <v>1086</v>
      </c>
      <c r="B178" s="119">
        <f>B135</f>
        <v>1422.72</v>
      </c>
      <c r="C178" s="119">
        <f>C135</f>
        <v>0</v>
      </c>
      <c r="D178" s="119">
        <f>D135</f>
        <v>1282.5</v>
      </c>
      <c r="E178" s="119">
        <f t="shared" si="1"/>
        <v>2705.2200000000003</v>
      </c>
    </row>
    <row r="179" spans="1:5" x14ac:dyDescent="0.25">
      <c r="A179" s="109" t="s">
        <v>1087</v>
      </c>
      <c r="B179" s="119">
        <f>B142</f>
        <v>7905.6</v>
      </c>
      <c r="C179" s="119">
        <f>C142</f>
        <v>0</v>
      </c>
      <c r="D179" s="119">
        <f>D142</f>
        <v>200</v>
      </c>
      <c r="E179" s="119">
        <f t="shared" si="1"/>
        <v>8105.6</v>
      </c>
    </row>
    <row r="180" spans="1:5" x14ac:dyDescent="0.25">
      <c r="A180" s="109" t="s">
        <v>1088</v>
      </c>
      <c r="B180" s="119">
        <f>B150</f>
        <v>2949.6</v>
      </c>
      <c r="C180" s="119">
        <f>C150</f>
        <v>0</v>
      </c>
      <c r="D180" s="119">
        <f>D150</f>
        <v>2870</v>
      </c>
      <c r="E180" s="119">
        <f t="shared" si="1"/>
        <v>5819.6</v>
      </c>
    </row>
    <row r="181" spans="1:5" x14ac:dyDescent="0.25">
      <c r="A181" s="109" t="s">
        <v>1089</v>
      </c>
      <c r="B181" s="125">
        <f>B152</f>
        <v>4012.8046592000001</v>
      </c>
      <c r="C181" s="125">
        <f>C152</f>
        <v>3784.6753735999996</v>
      </c>
      <c r="D181" s="125">
        <f>D152</f>
        <v>15576.625923200001</v>
      </c>
      <c r="E181" s="125">
        <f t="shared" si="1"/>
        <v>23374.105955999999</v>
      </c>
    </row>
    <row r="183" spans="1:5" x14ac:dyDescent="0.25">
      <c r="A183" s="109" t="s">
        <v>1090</v>
      </c>
      <c r="B183" s="119">
        <f>SUM(B174:B180)</f>
        <v>20694.679487999998</v>
      </c>
      <c r="C183" s="119">
        <f>SUM(C174:C180)</f>
        <v>10688.894259000001</v>
      </c>
      <c r="D183" s="119">
        <f>SUM(D174:D180)</f>
        <v>5852.5</v>
      </c>
      <c r="E183" s="119">
        <f>SUM(E174:E180)</f>
        <v>37236.073747000002</v>
      </c>
    </row>
    <row r="184" spans="1:5" x14ac:dyDescent="0.25">
      <c r="A184" s="109" t="s">
        <v>1091</v>
      </c>
      <c r="B184" s="119">
        <f>SUM(B174:B181)</f>
        <v>24707.484147199997</v>
      </c>
      <c r="C184" s="119">
        <f>SUM(C174:C181)</f>
        <v>14473.5696326</v>
      </c>
      <c r="D184" s="119">
        <f>SUM(D174:D181)</f>
        <v>21429.125923200001</v>
      </c>
      <c r="E184" s="119">
        <f>SUM(B184:D184)</f>
        <v>60610.179703000002</v>
      </c>
    </row>
  </sheetData>
  <sheetProtection sheet="1" objects="1" scenarios="1"/>
  <printOptions gridLines="1" gridLinesSet="0"/>
  <pageMargins left="0.75" right="0.75" top="1" bottom="1" header="0.5" footer="0.5"/>
  <pageSetup scale="80" fitToWidth="3" fitToHeight="3" orientation="portrait" horizontalDpi="300" verticalDpi="300" r:id="rId1"/>
  <headerFooter alignWithMargins="0">
    <oddHeader>&amp;A</oddHeader>
    <oddFoote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09B39-5064-41AE-993E-3B5E73FBF48A}">
  <sheetPr codeName="Sheet6">
    <tabColor theme="8" tint="0.39997558519241921"/>
    <pageSetUpPr fitToPage="1"/>
  </sheetPr>
  <dimension ref="A1:M111"/>
  <sheetViews>
    <sheetView workbookViewId="0"/>
  </sheetViews>
  <sheetFormatPr defaultRowHeight="12.5" x14ac:dyDescent="0.25"/>
  <cols>
    <col min="1" max="2" width="2.7265625" style="109" customWidth="1"/>
    <col min="3" max="3" width="70.7265625" style="109" customWidth="1"/>
    <col min="4" max="5" width="6.26953125" style="109" customWidth="1"/>
    <col min="6" max="6" width="6.453125" style="109" bestFit="1" customWidth="1"/>
    <col min="7" max="7" width="8" style="109" bestFit="1" customWidth="1"/>
    <col min="8" max="8" width="5.54296875" style="109" customWidth="1"/>
    <col min="9" max="9" width="5.26953125" style="109" customWidth="1"/>
    <col min="10" max="10" width="6.453125" style="109" bestFit="1" customWidth="1"/>
    <col min="11" max="11" width="8" style="109" bestFit="1" customWidth="1"/>
    <col min="12" max="12" width="5.7265625" style="109" customWidth="1"/>
    <col min="13" max="14" width="4.7265625" style="109" customWidth="1"/>
    <col min="15" max="256" width="8.7265625" style="109"/>
    <col min="257" max="258" width="2.7265625" style="109" customWidth="1"/>
    <col min="259" max="259" width="70.7265625" style="109" customWidth="1"/>
    <col min="260" max="261" width="6.26953125" style="109" customWidth="1"/>
    <col min="262" max="262" width="6.453125" style="109" bestFit="1" customWidth="1"/>
    <col min="263" max="263" width="8" style="109" bestFit="1" customWidth="1"/>
    <col min="264" max="264" width="5.54296875" style="109" customWidth="1"/>
    <col min="265" max="265" width="5.26953125" style="109" customWidth="1"/>
    <col min="266" max="266" width="6.453125" style="109" bestFit="1" customWidth="1"/>
    <col min="267" max="267" width="8" style="109" bestFit="1" customWidth="1"/>
    <col min="268" max="268" width="5.7265625" style="109" customWidth="1"/>
    <col min="269" max="270" width="4.7265625" style="109" customWidth="1"/>
    <col min="271" max="512" width="8.7265625" style="109"/>
    <col min="513" max="514" width="2.7265625" style="109" customWidth="1"/>
    <col min="515" max="515" width="70.7265625" style="109" customWidth="1"/>
    <col min="516" max="517" width="6.26953125" style="109" customWidth="1"/>
    <col min="518" max="518" width="6.453125" style="109" bestFit="1" customWidth="1"/>
    <col min="519" max="519" width="8" style="109" bestFit="1" customWidth="1"/>
    <col min="520" max="520" width="5.54296875" style="109" customWidth="1"/>
    <col min="521" max="521" width="5.26953125" style="109" customWidth="1"/>
    <col min="522" max="522" width="6.453125" style="109" bestFit="1" customWidth="1"/>
    <col min="523" max="523" width="8" style="109" bestFit="1" customWidth="1"/>
    <col min="524" max="524" width="5.7265625" style="109" customWidth="1"/>
    <col min="525" max="526" width="4.7265625" style="109" customWidth="1"/>
    <col min="527" max="768" width="8.7265625" style="109"/>
    <col min="769" max="770" width="2.7265625" style="109" customWidth="1"/>
    <col min="771" max="771" width="70.7265625" style="109" customWidth="1"/>
    <col min="772" max="773" width="6.26953125" style="109" customWidth="1"/>
    <col min="774" max="774" width="6.453125" style="109" bestFit="1" customWidth="1"/>
    <col min="775" max="775" width="8" style="109" bestFit="1" customWidth="1"/>
    <col min="776" max="776" width="5.54296875" style="109" customWidth="1"/>
    <col min="777" max="777" width="5.26953125" style="109" customWidth="1"/>
    <col min="778" max="778" width="6.453125" style="109" bestFit="1" customWidth="1"/>
    <col min="779" max="779" width="8" style="109" bestFit="1" customWidth="1"/>
    <col min="780" max="780" width="5.7265625" style="109" customWidth="1"/>
    <col min="781" max="782" width="4.7265625" style="109" customWidth="1"/>
    <col min="783" max="1024" width="8.7265625" style="109"/>
    <col min="1025" max="1026" width="2.7265625" style="109" customWidth="1"/>
    <col min="1027" max="1027" width="70.7265625" style="109" customWidth="1"/>
    <col min="1028" max="1029" width="6.26953125" style="109" customWidth="1"/>
    <col min="1030" max="1030" width="6.453125" style="109" bestFit="1" customWidth="1"/>
    <col min="1031" max="1031" width="8" style="109" bestFit="1" customWidth="1"/>
    <col min="1032" max="1032" width="5.54296875" style="109" customWidth="1"/>
    <col min="1033" max="1033" width="5.26953125" style="109" customWidth="1"/>
    <col min="1034" max="1034" width="6.453125" style="109" bestFit="1" customWidth="1"/>
    <col min="1035" max="1035" width="8" style="109" bestFit="1" customWidth="1"/>
    <col min="1036" max="1036" width="5.7265625" style="109" customWidth="1"/>
    <col min="1037" max="1038" width="4.7265625" style="109" customWidth="1"/>
    <col min="1039" max="1280" width="8.7265625" style="109"/>
    <col min="1281" max="1282" width="2.7265625" style="109" customWidth="1"/>
    <col min="1283" max="1283" width="70.7265625" style="109" customWidth="1"/>
    <col min="1284" max="1285" width="6.26953125" style="109" customWidth="1"/>
    <col min="1286" max="1286" width="6.453125" style="109" bestFit="1" customWidth="1"/>
    <col min="1287" max="1287" width="8" style="109" bestFit="1" customWidth="1"/>
    <col min="1288" max="1288" width="5.54296875" style="109" customWidth="1"/>
    <col min="1289" max="1289" width="5.26953125" style="109" customWidth="1"/>
    <col min="1290" max="1290" width="6.453125" style="109" bestFit="1" customWidth="1"/>
    <col min="1291" max="1291" width="8" style="109" bestFit="1" customWidth="1"/>
    <col min="1292" max="1292" width="5.7265625" style="109" customWidth="1"/>
    <col min="1293" max="1294" width="4.7265625" style="109" customWidth="1"/>
    <col min="1295" max="1536" width="8.7265625" style="109"/>
    <col min="1537" max="1538" width="2.7265625" style="109" customWidth="1"/>
    <col min="1539" max="1539" width="70.7265625" style="109" customWidth="1"/>
    <col min="1540" max="1541" width="6.26953125" style="109" customWidth="1"/>
    <col min="1542" max="1542" width="6.453125" style="109" bestFit="1" customWidth="1"/>
    <col min="1543" max="1543" width="8" style="109" bestFit="1" customWidth="1"/>
    <col min="1544" max="1544" width="5.54296875" style="109" customWidth="1"/>
    <col min="1545" max="1545" width="5.26953125" style="109" customWidth="1"/>
    <col min="1546" max="1546" width="6.453125" style="109" bestFit="1" customWidth="1"/>
    <col min="1547" max="1547" width="8" style="109" bestFit="1" customWidth="1"/>
    <col min="1548" max="1548" width="5.7265625" style="109" customWidth="1"/>
    <col min="1549" max="1550" width="4.7265625" style="109" customWidth="1"/>
    <col min="1551" max="1792" width="8.7265625" style="109"/>
    <col min="1793" max="1794" width="2.7265625" style="109" customWidth="1"/>
    <col min="1795" max="1795" width="70.7265625" style="109" customWidth="1"/>
    <col min="1796" max="1797" width="6.26953125" style="109" customWidth="1"/>
    <col min="1798" max="1798" width="6.453125" style="109" bestFit="1" customWidth="1"/>
    <col min="1799" max="1799" width="8" style="109" bestFit="1" customWidth="1"/>
    <col min="1800" max="1800" width="5.54296875" style="109" customWidth="1"/>
    <col min="1801" max="1801" width="5.26953125" style="109" customWidth="1"/>
    <col min="1802" max="1802" width="6.453125" style="109" bestFit="1" customWidth="1"/>
    <col min="1803" max="1803" width="8" style="109" bestFit="1" customWidth="1"/>
    <col min="1804" max="1804" width="5.7265625" style="109" customWidth="1"/>
    <col min="1805" max="1806" width="4.7265625" style="109" customWidth="1"/>
    <col min="1807" max="2048" width="8.7265625" style="109"/>
    <col min="2049" max="2050" width="2.7265625" style="109" customWidth="1"/>
    <col min="2051" max="2051" width="70.7265625" style="109" customWidth="1"/>
    <col min="2052" max="2053" width="6.26953125" style="109" customWidth="1"/>
    <col min="2054" max="2054" width="6.453125" style="109" bestFit="1" customWidth="1"/>
    <col min="2055" max="2055" width="8" style="109" bestFit="1" customWidth="1"/>
    <col min="2056" max="2056" width="5.54296875" style="109" customWidth="1"/>
    <col min="2057" max="2057" width="5.26953125" style="109" customWidth="1"/>
    <col min="2058" max="2058" width="6.453125" style="109" bestFit="1" customWidth="1"/>
    <col min="2059" max="2059" width="8" style="109" bestFit="1" customWidth="1"/>
    <col min="2060" max="2060" width="5.7265625" style="109" customWidth="1"/>
    <col min="2061" max="2062" width="4.7265625" style="109" customWidth="1"/>
    <col min="2063" max="2304" width="8.7265625" style="109"/>
    <col min="2305" max="2306" width="2.7265625" style="109" customWidth="1"/>
    <col min="2307" max="2307" width="70.7265625" style="109" customWidth="1"/>
    <col min="2308" max="2309" width="6.26953125" style="109" customWidth="1"/>
    <col min="2310" max="2310" width="6.453125" style="109" bestFit="1" customWidth="1"/>
    <col min="2311" max="2311" width="8" style="109" bestFit="1" customWidth="1"/>
    <col min="2312" max="2312" width="5.54296875" style="109" customWidth="1"/>
    <col min="2313" max="2313" width="5.26953125" style="109" customWidth="1"/>
    <col min="2314" max="2314" width="6.453125" style="109" bestFit="1" customWidth="1"/>
    <col min="2315" max="2315" width="8" style="109" bestFit="1" customWidth="1"/>
    <col min="2316" max="2316" width="5.7265625" style="109" customWidth="1"/>
    <col min="2317" max="2318" width="4.7265625" style="109" customWidth="1"/>
    <col min="2319" max="2560" width="8.7265625" style="109"/>
    <col min="2561" max="2562" width="2.7265625" style="109" customWidth="1"/>
    <col min="2563" max="2563" width="70.7265625" style="109" customWidth="1"/>
    <col min="2564" max="2565" width="6.26953125" style="109" customWidth="1"/>
    <col min="2566" max="2566" width="6.453125" style="109" bestFit="1" customWidth="1"/>
    <col min="2567" max="2567" width="8" style="109" bestFit="1" customWidth="1"/>
    <col min="2568" max="2568" width="5.54296875" style="109" customWidth="1"/>
    <col min="2569" max="2569" width="5.26953125" style="109" customWidth="1"/>
    <col min="2570" max="2570" width="6.453125" style="109" bestFit="1" customWidth="1"/>
    <col min="2571" max="2571" width="8" style="109" bestFit="1" customWidth="1"/>
    <col min="2572" max="2572" width="5.7265625" style="109" customWidth="1"/>
    <col min="2573" max="2574" width="4.7265625" style="109" customWidth="1"/>
    <col min="2575" max="2816" width="8.7265625" style="109"/>
    <col min="2817" max="2818" width="2.7265625" style="109" customWidth="1"/>
    <col min="2819" max="2819" width="70.7265625" style="109" customWidth="1"/>
    <col min="2820" max="2821" width="6.26953125" style="109" customWidth="1"/>
    <col min="2822" max="2822" width="6.453125" style="109" bestFit="1" customWidth="1"/>
    <col min="2823" max="2823" width="8" style="109" bestFit="1" customWidth="1"/>
    <col min="2824" max="2824" width="5.54296875" style="109" customWidth="1"/>
    <col min="2825" max="2825" width="5.26953125" style="109" customWidth="1"/>
    <col min="2826" max="2826" width="6.453125" style="109" bestFit="1" customWidth="1"/>
    <col min="2827" max="2827" width="8" style="109" bestFit="1" customWidth="1"/>
    <col min="2828" max="2828" width="5.7265625" style="109" customWidth="1"/>
    <col min="2829" max="2830" width="4.7265625" style="109" customWidth="1"/>
    <col min="2831" max="3072" width="8.7265625" style="109"/>
    <col min="3073" max="3074" width="2.7265625" style="109" customWidth="1"/>
    <col min="3075" max="3075" width="70.7265625" style="109" customWidth="1"/>
    <col min="3076" max="3077" width="6.26953125" style="109" customWidth="1"/>
    <col min="3078" max="3078" width="6.453125" style="109" bestFit="1" customWidth="1"/>
    <col min="3079" max="3079" width="8" style="109" bestFit="1" customWidth="1"/>
    <col min="3080" max="3080" width="5.54296875" style="109" customWidth="1"/>
    <col min="3081" max="3081" width="5.26953125" style="109" customWidth="1"/>
    <col min="3082" max="3082" width="6.453125" style="109" bestFit="1" customWidth="1"/>
    <col min="3083" max="3083" width="8" style="109" bestFit="1" customWidth="1"/>
    <col min="3084" max="3084" width="5.7265625" style="109" customWidth="1"/>
    <col min="3085" max="3086" width="4.7265625" style="109" customWidth="1"/>
    <col min="3087" max="3328" width="8.7265625" style="109"/>
    <col min="3329" max="3330" width="2.7265625" style="109" customWidth="1"/>
    <col min="3331" max="3331" width="70.7265625" style="109" customWidth="1"/>
    <col min="3332" max="3333" width="6.26953125" style="109" customWidth="1"/>
    <col min="3334" max="3334" width="6.453125" style="109" bestFit="1" customWidth="1"/>
    <col min="3335" max="3335" width="8" style="109" bestFit="1" customWidth="1"/>
    <col min="3336" max="3336" width="5.54296875" style="109" customWidth="1"/>
    <col min="3337" max="3337" width="5.26953125" style="109" customWidth="1"/>
    <col min="3338" max="3338" width="6.453125" style="109" bestFit="1" customWidth="1"/>
    <col min="3339" max="3339" width="8" style="109" bestFit="1" customWidth="1"/>
    <col min="3340" max="3340" width="5.7265625" style="109" customWidth="1"/>
    <col min="3341" max="3342" width="4.7265625" style="109" customWidth="1"/>
    <col min="3343" max="3584" width="8.7265625" style="109"/>
    <col min="3585" max="3586" width="2.7265625" style="109" customWidth="1"/>
    <col min="3587" max="3587" width="70.7265625" style="109" customWidth="1"/>
    <col min="3588" max="3589" width="6.26953125" style="109" customWidth="1"/>
    <col min="3590" max="3590" width="6.453125" style="109" bestFit="1" customWidth="1"/>
    <col min="3591" max="3591" width="8" style="109" bestFit="1" customWidth="1"/>
    <col min="3592" max="3592" width="5.54296875" style="109" customWidth="1"/>
    <col min="3593" max="3593" width="5.26953125" style="109" customWidth="1"/>
    <col min="3594" max="3594" width="6.453125" style="109" bestFit="1" customWidth="1"/>
    <col min="3595" max="3595" width="8" style="109" bestFit="1" customWidth="1"/>
    <col min="3596" max="3596" width="5.7265625" style="109" customWidth="1"/>
    <col min="3597" max="3598" width="4.7265625" style="109" customWidth="1"/>
    <col min="3599" max="3840" width="8.7265625" style="109"/>
    <col min="3841" max="3842" width="2.7265625" style="109" customWidth="1"/>
    <col min="3843" max="3843" width="70.7265625" style="109" customWidth="1"/>
    <col min="3844" max="3845" width="6.26953125" style="109" customWidth="1"/>
    <col min="3846" max="3846" width="6.453125" style="109" bestFit="1" customWidth="1"/>
    <col min="3847" max="3847" width="8" style="109" bestFit="1" customWidth="1"/>
    <col min="3848" max="3848" width="5.54296875" style="109" customWidth="1"/>
    <col min="3849" max="3849" width="5.26953125" style="109" customWidth="1"/>
    <col min="3850" max="3850" width="6.453125" style="109" bestFit="1" customWidth="1"/>
    <col min="3851" max="3851" width="8" style="109" bestFit="1" customWidth="1"/>
    <col min="3852" max="3852" width="5.7265625" style="109" customWidth="1"/>
    <col min="3853" max="3854" width="4.7265625" style="109" customWidth="1"/>
    <col min="3855" max="4096" width="8.7265625" style="109"/>
    <col min="4097" max="4098" width="2.7265625" style="109" customWidth="1"/>
    <col min="4099" max="4099" width="70.7265625" style="109" customWidth="1"/>
    <col min="4100" max="4101" width="6.26953125" style="109" customWidth="1"/>
    <col min="4102" max="4102" width="6.453125" style="109" bestFit="1" customWidth="1"/>
    <col min="4103" max="4103" width="8" style="109" bestFit="1" customWidth="1"/>
    <col min="4104" max="4104" width="5.54296875" style="109" customWidth="1"/>
    <col min="4105" max="4105" width="5.26953125" style="109" customWidth="1"/>
    <col min="4106" max="4106" width="6.453125" style="109" bestFit="1" customWidth="1"/>
    <col min="4107" max="4107" width="8" style="109" bestFit="1" customWidth="1"/>
    <col min="4108" max="4108" width="5.7265625" style="109" customWidth="1"/>
    <col min="4109" max="4110" width="4.7265625" style="109" customWidth="1"/>
    <col min="4111" max="4352" width="8.7265625" style="109"/>
    <col min="4353" max="4354" width="2.7265625" style="109" customWidth="1"/>
    <col min="4355" max="4355" width="70.7265625" style="109" customWidth="1"/>
    <col min="4356" max="4357" width="6.26953125" style="109" customWidth="1"/>
    <col min="4358" max="4358" width="6.453125" style="109" bestFit="1" customWidth="1"/>
    <col min="4359" max="4359" width="8" style="109" bestFit="1" customWidth="1"/>
    <col min="4360" max="4360" width="5.54296875" style="109" customWidth="1"/>
    <col min="4361" max="4361" width="5.26953125" style="109" customWidth="1"/>
    <col min="4362" max="4362" width="6.453125" style="109" bestFit="1" customWidth="1"/>
    <col min="4363" max="4363" width="8" style="109" bestFit="1" customWidth="1"/>
    <col min="4364" max="4364" width="5.7265625" style="109" customWidth="1"/>
    <col min="4365" max="4366" width="4.7265625" style="109" customWidth="1"/>
    <col min="4367" max="4608" width="8.7265625" style="109"/>
    <col min="4609" max="4610" width="2.7265625" style="109" customWidth="1"/>
    <col min="4611" max="4611" width="70.7265625" style="109" customWidth="1"/>
    <col min="4612" max="4613" width="6.26953125" style="109" customWidth="1"/>
    <col min="4614" max="4614" width="6.453125" style="109" bestFit="1" customWidth="1"/>
    <col min="4615" max="4615" width="8" style="109" bestFit="1" customWidth="1"/>
    <col min="4616" max="4616" width="5.54296875" style="109" customWidth="1"/>
    <col min="4617" max="4617" width="5.26953125" style="109" customWidth="1"/>
    <col min="4618" max="4618" width="6.453125" style="109" bestFit="1" customWidth="1"/>
    <col min="4619" max="4619" width="8" style="109" bestFit="1" customWidth="1"/>
    <col min="4620" max="4620" width="5.7265625" style="109" customWidth="1"/>
    <col min="4621" max="4622" width="4.7265625" style="109" customWidth="1"/>
    <col min="4623" max="4864" width="8.7265625" style="109"/>
    <col min="4865" max="4866" width="2.7265625" style="109" customWidth="1"/>
    <col min="4867" max="4867" width="70.7265625" style="109" customWidth="1"/>
    <col min="4868" max="4869" width="6.26953125" style="109" customWidth="1"/>
    <col min="4870" max="4870" width="6.453125" style="109" bestFit="1" customWidth="1"/>
    <col min="4871" max="4871" width="8" style="109" bestFit="1" customWidth="1"/>
    <col min="4872" max="4872" width="5.54296875" style="109" customWidth="1"/>
    <col min="4873" max="4873" width="5.26953125" style="109" customWidth="1"/>
    <col min="4874" max="4874" width="6.453125" style="109" bestFit="1" customWidth="1"/>
    <col min="4875" max="4875" width="8" style="109" bestFit="1" customWidth="1"/>
    <col min="4876" max="4876" width="5.7265625" style="109" customWidth="1"/>
    <col min="4877" max="4878" width="4.7265625" style="109" customWidth="1"/>
    <col min="4879" max="5120" width="8.7265625" style="109"/>
    <col min="5121" max="5122" width="2.7265625" style="109" customWidth="1"/>
    <col min="5123" max="5123" width="70.7265625" style="109" customWidth="1"/>
    <col min="5124" max="5125" width="6.26953125" style="109" customWidth="1"/>
    <col min="5126" max="5126" width="6.453125" style="109" bestFit="1" customWidth="1"/>
    <col min="5127" max="5127" width="8" style="109" bestFit="1" customWidth="1"/>
    <col min="5128" max="5128" width="5.54296875" style="109" customWidth="1"/>
    <col min="5129" max="5129" width="5.26953125" style="109" customWidth="1"/>
    <col min="5130" max="5130" width="6.453125" style="109" bestFit="1" customWidth="1"/>
    <col min="5131" max="5131" width="8" style="109" bestFit="1" customWidth="1"/>
    <col min="5132" max="5132" width="5.7265625" style="109" customWidth="1"/>
    <col min="5133" max="5134" width="4.7265625" style="109" customWidth="1"/>
    <col min="5135" max="5376" width="8.7265625" style="109"/>
    <col min="5377" max="5378" width="2.7265625" style="109" customWidth="1"/>
    <col min="5379" max="5379" width="70.7265625" style="109" customWidth="1"/>
    <col min="5380" max="5381" width="6.26953125" style="109" customWidth="1"/>
    <col min="5382" max="5382" width="6.453125" style="109" bestFit="1" customWidth="1"/>
    <col min="5383" max="5383" width="8" style="109" bestFit="1" customWidth="1"/>
    <col min="5384" max="5384" width="5.54296875" style="109" customWidth="1"/>
    <col min="5385" max="5385" width="5.26953125" style="109" customWidth="1"/>
    <col min="5386" max="5386" width="6.453125" style="109" bestFit="1" customWidth="1"/>
    <col min="5387" max="5387" width="8" style="109" bestFit="1" customWidth="1"/>
    <col min="5388" max="5388" width="5.7265625" style="109" customWidth="1"/>
    <col min="5389" max="5390" width="4.7265625" style="109" customWidth="1"/>
    <col min="5391" max="5632" width="8.7265625" style="109"/>
    <col min="5633" max="5634" width="2.7265625" style="109" customWidth="1"/>
    <col min="5635" max="5635" width="70.7265625" style="109" customWidth="1"/>
    <col min="5636" max="5637" width="6.26953125" style="109" customWidth="1"/>
    <col min="5638" max="5638" width="6.453125" style="109" bestFit="1" customWidth="1"/>
    <col min="5639" max="5639" width="8" style="109" bestFit="1" customWidth="1"/>
    <col min="5640" max="5640" width="5.54296875" style="109" customWidth="1"/>
    <col min="5641" max="5641" width="5.26953125" style="109" customWidth="1"/>
    <col min="5642" max="5642" width="6.453125" style="109" bestFit="1" customWidth="1"/>
    <col min="5643" max="5643" width="8" style="109" bestFit="1" customWidth="1"/>
    <col min="5644" max="5644" width="5.7265625" style="109" customWidth="1"/>
    <col min="5645" max="5646" width="4.7265625" style="109" customWidth="1"/>
    <col min="5647" max="5888" width="8.7265625" style="109"/>
    <col min="5889" max="5890" width="2.7265625" style="109" customWidth="1"/>
    <col min="5891" max="5891" width="70.7265625" style="109" customWidth="1"/>
    <col min="5892" max="5893" width="6.26953125" style="109" customWidth="1"/>
    <col min="5894" max="5894" width="6.453125" style="109" bestFit="1" customWidth="1"/>
    <col min="5895" max="5895" width="8" style="109" bestFit="1" customWidth="1"/>
    <col min="5896" max="5896" width="5.54296875" style="109" customWidth="1"/>
    <col min="5897" max="5897" width="5.26953125" style="109" customWidth="1"/>
    <col min="5898" max="5898" width="6.453125" style="109" bestFit="1" customWidth="1"/>
    <col min="5899" max="5899" width="8" style="109" bestFit="1" customWidth="1"/>
    <col min="5900" max="5900" width="5.7265625" style="109" customWidth="1"/>
    <col min="5901" max="5902" width="4.7265625" style="109" customWidth="1"/>
    <col min="5903" max="6144" width="8.7265625" style="109"/>
    <col min="6145" max="6146" width="2.7265625" style="109" customWidth="1"/>
    <col min="6147" max="6147" width="70.7265625" style="109" customWidth="1"/>
    <col min="6148" max="6149" width="6.26953125" style="109" customWidth="1"/>
    <col min="6150" max="6150" width="6.453125" style="109" bestFit="1" customWidth="1"/>
    <col min="6151" max="6151" width="8" style="109" bestFit="1" customWidth="1"/>
    <col min="6152" max="6152" width="5.54296875" style="109" customWidth="1"/>
    <col min="6153" max="6153" width="5.26953125" style="109" customWidth="1"/>
    <col min="6154" max="6154" width="6.453125" style="109" bestFit="1" customWidth="1"/>
    <col min="6155" max="6155" width="8" style="109" bestFit="1" customWidth="1"/>
    <col min="6156" max="6156" width="5.7265625" style="109" customWidth="1"/>
    <col min="6157" max="6158" width="4.7265625" style="109" customWidth="1"/>
    <col min="6159" max="6400" width="8.7265625" style="109"/>
    <col min="6401" max="6402" width="2.7265625" style="109" customWidth="1"/>
    <col min="6403" max="6403" width="70.7265625" style="109" customWidth="1"/>
    <col min="6404" max="6405" width="6.26953125" style="109" customWidth="1"/>
    <col min="6406" max="6406" width="6.453125" style="109" bestFit="1" customWidth="1"/>
    <col min="6407" max="6407" width="8" style="109" bestFit="1" customWidth="1"/>
    <col min="6408" max="6408" width="5.54296875" style="109" customWidth="1"/>
    <col min="6409" max="6409" width="5.26953125" style="109" customWidth="1"/>
    <col min="6410" max="6410" width="6.453125" style="109" bestFit="1" customWidth="1"/>
    <col min="6411" max="6411" width="8" style="109" bestFit="1" customWidth="1"/>
    <col min="6412" max="6412" width="5.7265625" style="109" customWidth="1"/>
    <col min="6413" max="6414" width="4.7265625" style="109" customWidth="1"/>
    <col min="6415" max="6656" width="8.7265625" style="109"/>
    <col min="6657" max="6658" width="2.7265625" style="109" customWidth="1"/>
    <col min="6659" max="6659" width="70.7265625" style="109" customWidth="1"/>
    <col min="6660" max="6661" width="6.26953125" style="109" customWidth="1"/>
    <col min="6662" max="6662" width="6.453125" style="109" bestFit="1" customWidth="1"/>
    <col min="6663" max="6663" width="8" style="109" bestFit="1" customWidth="1"/>
    <col min="6664" max="6664" width="5.54296875" style="109" customWidth="1"/>
    <col min="6665" max="6665" width="5.26953125" style="109" customWidth="1"/>
    <col min="6666" max="6666" width="6.453125" style="109" bestFit="1" customWidth="1"/>
    <col min="6667" max="6667" width="8" style="109" bestFit="1" customWidth="1"/>
    <col min="6668" max="6668" width="5.7265625" style="109" customWidth="1"/>
    <col min="6669" max="6670" width="4.7265625" style="109" customWidth="1"/>
    <col min="6671" max="6912" width="8.7265625" style="109"/>
    <col min="6913" max="6914" width="2.7265625" style="109" customWidth="1"/>
    <col min="6915" max="6915" width="70.7265625" style="109" customWidth="1"/>
    <col min="6916" max="6917" width="6.26953125" style="109" customWidth="1"/>
    <col min="6918" max="6918" width="6.453125" style="109" bestFit="1" customWidth="1"/>
    <col min="6919" max="6919" width="8" style="109" bestFit="1" customWidth="1"/>
    <col min="6920" max="6920" width="5.54296875" style="109" customWidth="1"/>
    <col min="6921" max="6921" width="5.26953125" style="109" customWidth="1"/>
    <col min="6922" max="6922" width="6.453125" style="109" bestFit="1" customWidth="1"/>
    <col min="6923" max="6923" width="8" style="109" bestFit="1" customWidth="1"/>
    <col min="6924" max="6924" width="5.7265625" style="109" customWidth="1"/>
    <col min="6925" max="6926" width="4.7265625" style="109" customWidth="1"/>
    <col min="6927" max="7168" width="8.7265625" style="109"/>
    <col min="7169" max="7170" width="2.7265625" style="109" customWidth="1"/>
    <col min="7171" max="7171" width="70.7265625" style="109" customWidth="1"/>
    <col min="7172" max="7173" width="6.26953125" style="109" customWidth="1"/>
    <col min="7174" max="7174" width="6.453125" style="109" bestFit="1" customWidth="1"/>
    <col min="7175" max="7175" width="8" style="109" bestFit="1" customWidth="1"/>
    <col min="7176" max="7176" width="5.54296875" style="109" customWidth="1"/>
    <col min="7177" max="7177" width="5.26953125" style="109" customWidth="1"/>
    <col min="7178" max="7178" width="6.453125" style="109" bestFit="1" customWidth="1"/>
    <col min="7179" max="7179" width="8" style="109" bestFit="1" customWidth="1"/>
    <col min="7180" max="7180" width="5.7265625" style="109" customWidth="1"/>
    <col min="7181" max="7182" width="4.7265625" style="109" customWidth="1"/>
    <col min="7183" max="7424" width="8.7265625" style="109"/>
    <col min="7425" max="7426" width="2.7265625" style="109" customWidth="1"/>
    <col min="7427" max="7427" width="70.7265625" style="109" customWidth="1"/>
    <col min="7428" max="7429" width="6.26953125" style="109" customWidth="1"/>
    <col min="7430" max="7430" width="6.453125" style="109" bestFit="1" customWidth="1"/>
    <col min="7431" max="7431" width="8" style="109" bestFit="1" customWidth="1"/>
    <col min="7432" max="7432" width="5.54296875" style="109" customWidth="1"/>
    <col min="7433" max="7433" width="5.26953125" style="109" customWidth="1"/>
    <col min="7434" max="7434" width="6.453125" style="109" bestFit="1" customWidth="1"/>
    <col min="7435" max="7435" width="8" style="109" bestFit="1" customWidth="1"/>
    <col min="7436" max="7436" width="5.7265625" style="109" customWidth="1"/>
    <col min="7437" max="7438" width="4.7265625" style="109" customWidth="1"/>
    <col min="7439" max="7680" width="8.7265625" style="109"/>
    <col min="7681" max="7682" width="2.7265625" style="109" customWidth="1"/>
    <col min="7683" max="7683" width="70.7265625" style="109" customWidth="1"/>
    <col min="7684" max="7685" width="6.26953125" style="109" customWidth="1"/>
    <col min="7686" max="7686" width="6.453125" style="109" bestFit="1" customWidth="1"/>
    <col min="7687" max="7687" width="8" style="109" bestFit="1" customWidth="1"/>
    <col min="7688" max="7688" width="5.54296875" style="109" customWidth="1"/>
    <col min="7689" max="7689" width="5.26953125" style="109" customWidth="1"/>
    <col min="7690" max="7690" width="6.453125" style="109" bestFit="1" customWidth="1"/>
    <col min="7691" max="7691" width="8" style="109" bestFit="1" customWidth="1"/>
    <col min="7692" max="7692" width="5.7265625" style="109" customWidth="1"/>
    <col min="7693" max="7694" width="4.7265625" style="109" customWidth="1"/>
    <col min="7695" max="7936" width="8.7265625" style="109"/>
    <col min="7937" max="7938" width="2.7265625" style="109" customWidth="1"/>
    <col min="7939" max="7939" width="70.7265625" style="109" customWidth="1"/>
    <col min="7940" max="7941" width="6.26953125" style="109" customWidth="1"/>
    <col min="7942" max="7942" width="6.453125" style="109" bestFit="1" customWidth="1"/>
    <col min="7943" max="7943" width="8" style="109" bestFit="1" customWidth="1"/>
    <col min="7944" max="7944" width="5.54296875" style="109" customWidth="1"/>
    <col min="7945" max="7945" width="5.26953125" style="109" customWidth="1"/>
    <col min="7946" max="7946" width="6.453125" style="109" bestFit="1" customWidth="1"/>
    <col min="7947" max="7947" width="8" style="109" bestFit="1" customWidth="1"/>
    <col min="7948" max="7948" width="5.7265625" style="109" customWidth="1"/>
    <col min="7949" max="7950" width="4.7265625" style="109" customWidth="1"/>
    <col min="7951" max="8192" width="8.7265625" style="109"/>
    <col min="8193" max="8194" width="2.7265625" style="109" customWidth="1"/>
    <col min="8195" max="8195" width="70.7265625" style="109" customWidth="1"/>
    <col min="8196" max="8197" width="6.26953125" style="109" customWidth="1"/>
    <col min="8198" max="8198" width="6.453125" style="109" bestFit="1" customWidth="1"/>
    <col min="8199" max="8199" width="8" style="109" bestFit="1" customWidth="1"/>
    <col min="8200" max="8200" width="5.54296875" style="109" customWidth="1"/>
    <col min="8201" max="8201" width="5.26953125" style="109" customWidth="1"/>
    <col min="8202" max="8202" width="6.453125" style="109" bestFit="1" customWidth="1"/>
    <col min="8203" max="8203" width="8" style="109" bestFit="1" customWidth="1"/>
    <col min="8204" max="8204" width="5.7265625" style="109" customWidth="1"/>
    <col min="8205" max="8206" width="4.7265625" style="109" customWidth="1"/>
    <col min="8207" max="8448" width="8.7265625" style="109"/>
    <col min="8449" max="8450" width="2.7265625" style="109" customWidth="1"/>
    <col min="8451" max="8451" width="70.7265625" style="109" customWidth="1"/>
    <col min="8452" max="8453" width="6.26953125" style="109" customWidth="1"/>
    <col min="8454" max="8454" width="6.453125" style="109" bestFit="1" customWidth="1"/>
    <col min="8455" max="8455" width="8" style="109" bestFit="1" customWidth="1"/>
    <col min="8456" max="8456" width="5.54296875" style="109" customWidth="1"/>
    <col min="8457" max="8457" width="5.26953125" style="109" customWidth="1"/>
    <col min="8458" max="8458" width="6.453125" style="109" bestFit="1" customWidth="1"/>
    <col min="8459" max="8459" width="8" style="109" bestFit="1" customWidth="1"/>
    <col min="8460" max="8460" width="5.7265625" style="109" customWidth="1"/>
    <col min="8461" max="8462" width="4.7265625" style="109" customWidth="1"/>
    <col min="8463" max="8704" width="8.7265625" style="109"/>
    <col min="8705" max="8706" width="2.7265625" style="109" customWidth="1"/>
    <col min="8707" max="8707" width="70.7265625" style="109" customWidth="1"/>
    <col min="8708" max="8709" width="6.26953125" style="109" customWidth="1"/>
    <col min="8710" max="8710" width="6.453125" style="109" bestFit="1" customWidth="1"/>
    <col min="8711" max="8711" width="8" style="109" bestFit="1" customWidth="1"/>
    <col min="8712" max="8712" width="5.54296875" style="109" customWidth="1"/>
    <col min="8713" max="8713" width="5.26953125" style="109" customWidth="1"/>
    <col min="8714" max="8714" width="6.453125" style="109" bestFit="1" customWidth="1"/>
    <col min="8715" max="8715" width="8" style="109" bestFit="1" customWidth="1"/>
    <col min="8716" max="8716" width="5.7265625" style="109" customWidth="1"/>
    <col min="8717" max="8718" width="4.7265625" style="109" customWidth="1"/>
    <col min="8719" max="8960" width="8.7265625" style="109"/>
    <col min="8961" max="8962" width="2.7265625" style="109" customWidth="1"/>
    <col min="8963" max="8963" width="70.7265625" style="109" customWidth="1"/>
    <col min="8964" max="8965" width="6.26953125" style="109" customWidth="1"/>
    <col min="8966" max="8966" width="6.453125" style="109" bestFit="1" customWidth="1"/>
    <col min="8967" max="8967" width="8" style="109" bestFit="1" customWidth="1"/>
    <col min="8968" max="8968" width="5.54296875" style="109" customWidth="1"/>
    <col min="8969" max="8969" width="5.26953125" style="109" customWidth="1"/>
    <col min="8970" max="8970" width="6.453125" style="109" bestFit="1" customWidth="1"/>
    <col min="8971" max="8971" width="8" style="109" bestFit="1" customWidth="1"/>
    <col min="8972" max="8972" width="5.7265625" style="109" customWidth="1"/>
    <col min="8973" max="8974" width="4.7265625" style="109" customWidth="1"/>
    <col min="8975" max="9216" width="8.7265625" style="109"/>
    <col min="9217" max="9218" width="2.7265625" style="109" customWidth="1"/>
    <col min="9219" max="9219" width="70.7265625" style="109" customWidth="1"/>
    <col min="9220" max="9221" width="6.26953125" style="109" customWidth="1"/>
    <col min="9222" max="9222" width="6.453125" style="109" bestFit="1" customWidth="1"/>
    <col min="9223" max="9223" width="8" style="109" bestFit="1" customWidth="1"/>
    <col min="9224" max="9224" width="5.54296875" style="109" customWidth="1"/>
    <col min="9225" max="9225" width="5.26953125" style="109" customWidth="1"/>
    <col min="9226" max="9226" width="6.453125" style="109" bestFit="1" customWidth="1"/>
    <col min="9227" max="9227" width="8" style="109" bestFit="1" customWidth="1"/>
    <col min="9228" max="9228" width="5.7265625" style="109" customWidth="1"/>
    <col min="9229" max="9230" width="4.7265625" style="109" customWidth="1"/>
    <col min="9231" max="9472" width="8.7265625" style="109"/>
    <col min="9473" max="9474" width="2.7265625" style="109" customWidth="1"/>
    <col min="9475" max="9475" width="70.7265625" style="109" customWidth="1"/>
    <col min="9476" max="9477" width="6.26953125" style="109" customWidth="1"/>
    <col min="9478" max="9478" width="6.453125" style="109" bestFit="1" customWidth="1"/>
    <col min="9479" max="9479" width="8" style="109" bestFit="1" customWidth="1"/>
    <col min="9480" max="9480" width="5.54296875" style="109" customWidth="1"/>
    <col min="9481" max="9481" width="5.26953125" style="109" customWidth="1"/>
    <col min="9482" max="9482" width="6.453125" style="109" bestFit="1" customWidth="1"/>
    <col min="9483" max="9483" width="8" style="109" bestFit="1" customWidth="1"/>
    <col min="9484" max="9484" width="5.7265625" style="109" customWidth="1"/>
    <col min="9485" max="9486" width="4.7265625" style="109" customWidth="1"/>
    <col min="9487" max="9728" width="8.7265625" style="109"/>
    <col min="9729" max="9730" width="2.7265625" style="109" customWidth="1"/>
    <col min="9731" max="9731" width="70.7265625" style="109" customWidth="1"/>
    <col min="9732" max="9733" width="6.26953125" style="109" customWidth="1"/>
    <col min="9734" max="9734" width="6.453125" style="109" bestFit="1" customWidth="1"/>
    <col min="9735" max="9735" width="8" style="109" bestFit="1" customWidth="1"/>
    <col min="9736" max="9736" width="5.54296875" style="109" customWidth="1"/>
    <col min="9737" max="9737" width="5.26953125" style="109" customWidth="1"/>
    <col min="9738" max="9738" width="6.453125" style="109" bestFit="1" customWidth="1"/>
    <col min="9739" max="9739" width="8" style="109" bestFit="1" customWidth="1"/>
    <col min="9740" max="9740" width="5.7265625" style="109" customWidth="1"/>
    <col min="9741" max="9742" width="4.7265625" style="109" customWidth="1"/>
    <col min="9743" max="9984" width="8.7265625" style="109"/>
    <col min="9985" max="9986" width="2.7265625" style="109" customWidth="1"/>
    <col min="9987" max="9987" width="70.7265625" style="109" customWidth="1"/>
    <col min="9988" max="9989" width="6.26953125" style="109" customWidth="1"/>
    <col min="9990" max="9990" width="6.453125" style="109" bestFit="1" customWidth="1"/>
    <col min="9991" max="9991" width="8" style="109" bestFit="1" customWidth="1"/>
    <col min="9992" max="9992" width="5.54296875" style="109" customWidth="1"/>
    <col min="9993" max="9993" width="5.26953125" style="109" customWidth="1"/>
    <col min="9994" max="9994" width="6.453125" style="109" bestFit="1" customWidth="1"/>
    <col min="9995" max="9995" width="8" style="109" bestFit="1" customWidth="1"/>
    <col min="9996" max="9996" width="5.7265625" style="109" customWidth="1"/>
    <col min="9997" max="9998" width="4.7265625" style="109" customWidth="1"/>
    <col min="9999" max="10240" width="8.7265625" style="109"/>
    <col min="10241" max="10242" width="2.7265625" style="109" customWidth="1"/>
    <col min="10243" max="10243" width="70.7265625" style="109" customWidth="1"/>
    <col min="10244" max="10245" width="6.26953125" style="109" customWidth="1"/>
    <col min="10246" max="10246" width="6.453125" style="109" bestFit="1" customWidth="1"/>
    <col min="10247" max="10247" width="8" style="109" bestFit="1" customWidth="1"/>
    <col min="10248" max="10248" width="5.54296875" style="109" customWidth="1"/>
    <col min="10249" max="10249" width="5.26953125" style="109" customWidth="1"/>
    <col min="10250" max="10250" width="6.453125" style="109" bestFit="1" customWidth="1"/>
    <col min="10251" max="10251" width="8" style="109" bestFit="1" customWidth="1"/>
    <col min="10252" max="10252" width="5.7265625" style="109" customWidth="1"/>
    <col min="10253" max="10254" width="4.7265625" style="109" customWidth="1"/>
    <col min="10255" max="10496" width="8.7265625" style="109"/>
    <col min="10497" max="10498" width="2.7265625" style="109" customWidth="1"/>
    <col min="10499" max="10499" width="70.7265625" style="109" customWidth="1"/>
    <col min="10500" max="10501" width="6.26953125" style="109" customWidth="1"/>
    <col min="10502" max="10502" width="6.453125" style="109" bestFit="1" customWidth="1"/>
    <col min="10503" max="10503" width="8" style="109" bestFit="1" customWidth="1"/>
    <col min="10504" max="10504" width="5.54296875" style="109" customWidth="1"/>
    <col min="10505" max="10505" width="5.26953125" style="109" customWidth="1"/>
    <col min="10506" max="10506" width="6.453125" style="109" bestFit="1" customWidth="1"/>
    <col min="10507" max="10507" width="8" style="109" bestFit="1" customWidth="1"/>
    <col min="10508" max="10508" width="5.7265625" style="109" customWidth="1"/>
    <col min="10509" max="10510" width="4.7265625" style="109" customWidth="1"/>
    <col min="10511" max="10752" width="8.7265625" style="109"/>
    <col min="10753" max="10754" width="2.7265625" style="109" customWidth="1"/>
    <col min="10755" max="10755" width="70.7265625" style="109" customWidth="1"/>
    <col min="10756" max="10757" width="6.26953125" style="109" customWidth="1"/>
    <col min="10758" max="10758" width="6.453125" style="109" bestFit="1" customWidth="1"/>
    <col min="10759" max="10759" width="8" style="109" bestFit="1" customWidth="1"/>
    <col min="10760" max="10760" width="5.54296875" style="109" customWidth="1"/>
    <col min="10761" max="10761" width="5.26953125" style="109" customWidth="1"/>
    <col min="10762" max="10762" width="6.453125" style="109" bestFit="1" customWidth="1"/>
    <col min="10763" max="10763" width="8" style="109" bestFit="1" customWidth="1"/>
    <col min="10764" max="10764" width="5.7265625" style="109" customWidth="1"/>
    <col min="10765" max="10766" width="4.7265625" style="109" customWidth="1"/>
    <col min="10767" max="11008" width="8.7265625" style="109"/>
    <col min="11009" max="11010" width="2.7265625" style="109" customWidth="1"/>
    <col min="11011" max="11011" width="70.7265625" style="109" customWidth="1"/>
    <col min="11012" max="11013" width="6.26953125" style="109" customWidth="1"/>
    <col min="11014" max="11014" width="6.453125" style="109" bestFit="1" customWidth="1"/>
    <col min="11015" max="11015" width="8" style="109" bestFit="1" customWidth="1"/>
    <col min="11016" max="11016" width="5.54296875" style="109" customWidth="1"/>
    <col min="11017" max="11017" width="5.26953125" style="109" customWidth="1"/>
    <col min="11018" max="11018" width="6.453125" style="109" bestFit="1" customWidth="1"/>
    <col min="11019" max="11019" width="8" style="109" bestFit="1" customWidth="1"/>
    <col min="11020" max="11020" width="5.7265625" style="109" customWidth="1"/>
    <col min="11021" max="11022" width="4.7265625" style="109" customWidth="1"/>
    <col min="11023" max="11264" width="8.7265625" style="109"/>
    <col min="11265" max="11266" width="2.7265625" style="109" customWidth="1"/>
    <col min="11267" max="11267" width="70.7265625" style="109" customWidth="1"/>
    <col min="11268" max="11269" width="6.26953125" style="109" customWidth="1"/>
    <col min="11270" max="11270" width="6.453125" style="109" bestFit="1" customWidth="1"/>
    <col min="11271" max="11271" width="8" style="109" bestFit="1" customWidth="1"/>
    <col min="11272" max="11272" width="5.54296875" style="109" customWidth="1"/>
    <col min="11273" max="11273" width="5.26953125" style="109" customWidth="1"/>
    <col min="11274" max="11274" width="6.453125" style="109" bestFit="1" customWidth="1"/>
    <col min="11275" max="11275" width="8" style="109" bestFit="1" customWidth="1"/>
    <col min="11276" max="11276" width="5.7265625" style="109" customWidth="1"/>
    <col min="11277" max="11278" width="4.7265625" style="109" customWidth="1"/>
    <col min="11279" max="11520" width="8.7265625" style="109"/>
    <col min="11521" max="11522" width="2.7265625" style="109" customWidth="1"/>
    <col min="11523" max="11523" width="70.7265625" style="109" customWidth="1"/>
    <col min="11524" max="11525" width="6.26953125" style="109" customWidth="1"/>
    <col min="11526" max="11526" width="6.453125" style="109" bestFit="1" customWidth="1"/>
    <col min="11527" max="11527" width="8" style="109" bestFit="1" customWidth="1"/>
    <col min="11528" max="11528" width="5.54296875" style="109" customWidth="1"/>
    <col min="11529" max="11529" width="5.26953125" style="109" customWidth="1"/>
    <col min="11530" max="11530" width="6.453125" style="109" bestFit="1" customWidth="1"/>
    <col min="11531" max="11531" width="8" style="109" bestFit="1" customWidth="1"/>
    <col min="11532" max="11532" width="5.7265625" style="109" customWidth="1"/>
    <col min="11533" max="11534" width="4.7265625" style="109" customWidth="1"/>
    <col min="11535" max="11776" width="8.7265625" style="109"/>
    <col min="11777" max="11778" width="2.7265625" style="109" customWidth="1"/>
    <col min="11779" max="11779" width="70.7265625" style="109" customWidth="1"/>
    <col min="11780" max="11781" width="6.26953125" style="109" customWidth="1"/>
    <col min="11782" max="11782" width="6.453125" style="109" bestFit="1" customWidth="1"/>
    <col min="11783" max="11783" width="8" style="109" bestFit="1" customWidth="1"/>
    <col min="11784" max="11784" width="5.54296875" style="109" customWidth="1"/>
    <col min="11785" max="11785" width="5.26953125" style="109" customWidth="1"/>
    <col min="11786" max="11786" width="6.453125" style="109" bestFit="1" customWidth="1"/>
    <col min="11787" max="11787" width="8" style="109" bestFit="1" customWidth="1"/>
    <col min="11788" max="11788" width="5.7265625" style="109" customWidth="1"/>
    <col min="11789" max="11790" width="4.7265625" style="109" customWidth="1"/>
    <col min="11791" max="12032" width="8.7265625" style="109"/>
    <col min="12033" max="12034" width="2.7265625" style="109" customWidth="1"/>
    <col min="12035" max="12035" width="70.7265625" style="109" customWidth="1"/>
    <col min="12036" max="12037" width="6.26953125" style="109" customWidth="1"/>
    <col min="12038" max="12038" width="6.453125" style="109" bestFit="1" customWidth="1"/>
    <col min="12039" max="12039" width="8" style="109" bestFit="1" customWidth="1"/>
    <col min="12040" max="12040" width="5.54296875" style="109" customWidth="1"/>
    <col min="12041" max="12041" width="5.26953125" style="109" customWidth="1"/>
    <col min="12042" max="12042" width="6.453125" style="109" bestFit="1" customWidth="1"/>
    <col min="12043" max="12043" width="8" style="109" bestFit="1" customWidth="1"/>
    <col min="12044" max="12044" width="5.7265625" style="109" customWidth="1"/>
    <col min="12045" max="12046" width="4.7265625" style="109" customWidth="1"/>
    <col min="12047" max="12288" width="8.7265625" style="109"/>
    <col min="12289" max="12290" width="2.7265625" style="109" customWidth="1"/>
    <col min="12291" max="12291" width="70.7265625" style="109" customWidth="1"/>
    <col min="12292" max="12293" width="6.26953125" style="109" customWidth="1"/>
    <col min="12294" max="12294" width="6.453125" style="109" bestFit="1" customWidth="1"/>
    <col min="12295" max="12295" width="8" style="109" bestFit="1" customWidth="1"/>
    <col min="12296" max="12296" width="5.54296875" style="109" customWidth="1"/>
    <col min="12297" max="12297" width="5.26953125" style="109" customWidth="1"/>
    <col min="12298" max="12298" width="6.453125" style="109" bestFit="1" customWidth="1"/>
    <col min="12299" max="12299" width="8" style="109" bestFit="1" customWidth="1"/>
    <col min="12300" max="12300" width="5.7265625" style="109" customWidth="1"/>
    <col min="12301" max="12302" width="4.7265625" style="109" customWidth="1"/>
    <col min="12303" max="12544" width="8.7265625" style="109"/>
    <col min="12545" max="12546" width="2.7265625" style="109" customWidth="1"/>
    <col min="12547" max="12547" width="70.7265625" style="109" customWidth="1"/>
    <col min="12548" max="12549" width="6.26953125" style="109" customWidth="1"/>
    <col min="12550" max="12550" width="6.453125" style="109" bestFit="1" customWidth="1"/>
    <col min="12551" max="12551" width="8" style="109" bestFit="1" customWidth="1"/>
    <col min="12552" max="12552" width="5.54296875" style="109" customWidth="1"/>
    <col min="12553" max="12553" width="5.26953125" style="109" customWidth="1"/>
    <col min="12554" max="12554" width="6.453125" style="109" bestFit="1" customWidth="1"/>
    <col min="12555" max="12555" width="8" style="109" bestFit="1" customWidth="1"/>
    <col min="12556" max="12556" width="5.7265625" style="109" customWidth="1"/>
    <col min="12557" max="12558" width="4.7265625" style="109" customWidth="1"/>
    <col min="12559" max="12800" width="8.7265625" style="109"/>
    <col min="12801" max="12802" width="2.7265625" style="109" customWidth="1"/>
    <col min="12803" max="12803" width="70.7265625" style="109" customWidth="1"/>
    <col min="12804" max="12805" width="6.26953125" style="109" customWidth="1"/>
    <col min="12806" max="12806" width="6.453125" style="109" bestFit="1" customWidth="1"/>
    <col min="12807" max="12807" width="8" style="109" bestFit="1" customWidth="1"/>
    <col min="12808" max="12808" width="5.54296875" style="109" customWidth="1"/>
    <col min="12809" max="12809" width="5.26953125" style="109" customWidth="1"/>
    <col min="12810" max="12810" width="6.453125" style="109" bestFit="1" customWidth="1"/>
    <col min="12811" max="12811" width="8" style="109" bestFit="1" customWidth="1"/>
    <col min="12812" max="12812" width="5.7265625" style="109" customWidth="1"/>
    <col min="12813" max="12814" width="4.7265625" style="109" customWidth="1"/>
    <col min="12815" max="13056" width="8.7265625" style="109"/>
    <col min="13057" max="13058" width="2.7265625" style="109" customWidth="1"/>
    <col min="13059" max="13059" width="70.7265625" style="109" customWidth="1"/>
    <col min="13060" max="13061" width="6.26953125" style="109" customWidth="1"/>
    <col min="13062" max="13062" width="6.453125" style="109" bestFit="1" customWidth="1"/>
    <col min="13063" max="13063" width="8" style="109" bestFit="1" customWidth="1"/>
    <col min="13064" max="13064" width="5.54296875" style="109" customWidth="1"/>
    <col min="13065" max="13065" width="5.26953125" style="109" customWidth="1"/>
    <col min="13066" max="13066" width="6.453125" style="109" bestFit="1" customWidth="1"/>
    <col min="13067" max="13067" width="8" style="109" bestFit="1" customWidth="1"/>
    <col min="13068" max="13068" width="5.7265625" style="109" customWidth="1"/>
    <col min="13069" max="13070" width="4.7265625" style="109" customWidth="1"/>
    <col min="13071" max="13312" width="8.7265625" style="109"/>
    <col min="13313" max="13314" width="2.7265625" style="109" customWidth="1"/>
    <col min="13315" max="13315" width="70.7265625" style="109" customWidth="1"/>
    <col min="13316" max="13317" width="6.26953125" style="109" customWidth="1"/>
    <col min="13318" max="13318" width="6.453125" style="109" bestFit="1" customWidth="1"/>
    <col min="13319" max="13319" width="8" style="109" bestFit="1" customWidth="1"/>
    <col min="13320" max="13320" width="5.54296875" style="109" customWidth="1"/>
    <col min="13321" max="13321" width="5.26953125" style="109" customWidth="1"/>
    <col min="13322" max="13322" width="6.453125" style="109" bestFit="1" customWidth="1"/>
    <col min="13323" max="13323" width="8" style="109" bestFit="1" customWidth="1"/>
    <col min="13324" max="13324" width="5.7265625" style="109" customWidth="1"/>
    <col min="13325" max="13326" width="4.7265625" style="109" customWidth="1"/>
    <col min="13327" max="13568" width="8.7265625" style="109"/>
    <col min="13569" max="13570" width="2.7265625" style="109" customWidth="1"/>
    <col min="13571" max="13571" width="70.7265625" style="109" customWidth="1"/>
    <col min="13572" max="13573" width="6.26953125" style="109" customWidth="1"/>
    <col min="13574" max="13574" width="6.453125" style="109" bestFit="1" customWidth="1"/>
    <col min="13575" max="13575" width="8" style="109" bestFit="1" customWidth="1"/>
    <col min="13576" max="13576" width="5.54296875" style="109" customWidth="1"/>
    <col min="13577" max="13577" width="5.26953125" style="109" customWidth="1"/>
    <col min="13578" max="13578" width="6.453125" style="109" bestFit="1" customWidth="1"/>
    <col min="13579" max="13579" width="8" style="109" bestFit="1" customWidth="1"/>
    <col min="13580" max="13580" width="5.7265625" style="109" customWidth="1"/>
    <col min="13581" max="13582" width="4.7265625" style="109" customWidth="1"/>
    <col min="13583" max="13824" width="8.7265625" style="109"/>
    <col min="13825" max="13826" width="2.7265625" style="109" customWidth="1"/>
    <col min="13827" max="13827" width="70.7265625" style="109" customWidth="1"/>
    <col min="13828" max="13829" width="6.26953125" style="109" customWidth="1"/>
    <col min="13830" max="13830" width="6.453125" style="109" bestFit="1" customWidth="1"/>
    <col min="13831" max="13831" width="8" style="109" bestFit="1" customWidth="1"/>
    <col min="13832" max="13832" width="5.54296875" style="109" customWidth="1"/>
    <col min="13833" max="13833" width="5.26953125" style="109" customWidth="1"/>
    <col min="13834" max="13834" width="6.453125" style="109" bestFit="1" customWidth="1"/>
    <col min="13835" max="13835" width="8" style="109" bestFit="1" customWidth="1"/>
    <col min="13836" max="13836" width="5.7265625" style="109" customWidth="1"/>
    <col min="13837" max="13838" width="4.7265625" style="109" customWidth="1"/>
    <col min="13839" max="14080" width="8.7265625" style="109"/>
    <col min="14081" max="14082" width="2.7265625" style="109" customWidth="1"/>
    <col min="14083" max="14083" width="70.7265625" style="109" customWidth="1"/>
    <col min="14084" max="14085" width="6.26953125" style="109" customWidth="1"/>
    <col min="14086" max="14086" width="6.453125" style="109" bestFit="1" customWidth="1"/>
    <col min="14087" max="14087" width="8" style="109" bestFit="1" customWidth="1"/>
    <col min="14088" max="14088" width="5.54296875" style="109" customWidth="1"/>
    <col min="14089" max="14089" width="5.26953125" style="109" customWidth="1"/>
    <col min="14090" max="14090" width="6.453125" style="109" bestFit="1" customWidth="1"/>
    <col min="14091" max="14091" width="8" style="109" bestFit="1" customWidth="1"/>
    <col min="14092" max="14092" width="5.7265625" style="109" customWidth="1"/>
    <col min="14093" max="14094" width="4.7265625" style="109" customWidth="1"/>
    <col min="14095" max="14336" width="8.7265625" style="109"/>
    <col min="14337" max="14338" width="2.7265625" style="109" customWidth="1"/>
    <col min="14339" max="14339" width="70.7265625" style="109" customWidth="1"/>
    <col min="14340" max="14341" width="6.26953125" style="109" customWidth="1"/>
    <col min="14342" max="14342" width="6.453125" style="109" bestFit="1" customWidth="1"/>
    <col min="14343" max="14343" width="8" style="109" bestFit="1" customWidth="1"/>
    <col min="14344" max="14344" width="5.54296875" style="109" customWidth="1"/>
    <col min="14345" max="14345" width="5.26953125" style="109" customWidth="1"/>
    <col min="14346" max="14346" width="6.453125" style="109" bestFit="1" customWidth="1"/>
    <col min="14347" max="14347" width="8" style="109" bestFit="1" customWidth="1"/>
    <col min="14348" max="14348" width="5.7265625" style="109" customWidth="1"/>
    <col min="14349" max="14350" width="4.7265625" style="109" customWidth="1"/>
    <col min="14351" max="14592" width="8.7265625" style="109"/>
    <col min="14593" max="14594" width="2.7265625" style="109" customWidth="1"/>
    <col min="14595" max="14595" width="70.7265625" style="109" customWidth="1"/>
    <col min="14596" max="14597" width="6.26953125" style="109" customWidth="1"/>
    <col min="14598" max="14598" width="6.453125" style="109" bestFit="1" customWidth="1"/>
    <col min="14599" max="14599" width="8" style="109" bestFit="1" customWidth="1"/>
    <col min="14600" max="14600" width="5.54296875" style="109" customWidth="1"/>
    <col min="14601" max="14601" width="5.26953125" style="109" customWidth="1"/>
    <col min="14602" max="14602" width="6.453125" style="109" bestFit="1" customWidth="1"/>
    <col min="14603" max="14603" width="8" style="109" bestFit="1" customWidth="1"/>
    <col min="14604" max="14604" width="5.7265625" style="109" customWidth="1"/>
    <col min="14605" max="14606" width="4.7265625" style="109" customWidth="1"/>
    <col min="14607" max="14848" width="8.7265625" style="109"/>
    <col min="14849" max="14850" width="2.7265625" style="109" customWidth="1"/>
    <col min="14851" max="14851" width="70.7265625" style="109" customWidth="1"/>
    <col min="14852" max="14853" width="6.26953125" style="109" customWidth="1"/>
    <col min="14854" max="14854" width="6.453125" style="109" bestFit="1" customWidth="1"/>
    <col min="14855" max="14855" width="8" style="109" bestFit="1" customWidth="1"/>
    <col min="14856" max="14856" width="5.54296875" style="109" customWidth="1"/>
    <col min="14857" max="14857" width="5.26953125" style="109" customWidth="1"/>
    <col min="14858" max="14858" width="6.453125" style="109" bestFit="1" customWidth="1"/>
    <col min="14859" max="14859" width="8" style="109" bestFit="1" customWidth="1"/>
    <col min="14860" max="14860" width="5.7265625" style="109" customWidth="1"/>
    <col min="14861" max="14862" width="4.7265625" style="109" customWidth="1"/>
    <col min="14863" max="15104" width="8.7265625" style="109"/>
    <col min="15105" max="15106" width="2.7265625" style="109" customWidth="1"/>
    <col min="15107" max="15107" width="70.7265625" style="109" customWidth="1"/>
    <col min="15108" max="15109" width="6.26953125" style="109" customWidth="1"/>
    <col min="15110" max="15110" width="6.453125" style="109" bestFit="1" customWidth="1"/>
    <col min="15111" max="15111" width="8" style="109" bestFit="1" customWidth="1"/>
    <col min="15112" max="15112" width="5.54296875" style="109" customWidth="1"/>
    <col min="15113" max="15113" width="5.26953125" style="109" customWidth="1"/>
    <col min="15114" max="15114" width="6.453125" style="109" bestFit="1" customWidth="1"/>
    <col min="15115" max="15115" width="8" style="109" bestFit="1" customWidth="1"/>
    <col min="15116" max="15116" width="5.7265625" style="109" customWidth="1"/>
    <col min="15117" max="15118" width="4.7265625" style="109" customWidth="1"/>
    <col min="15119" max="15360" width="8.7265625" style="109"/>
    <col min="15361" max="15362" width="2.7265625" style="109" customWidth="1"/>
    <col min="15363" max="15363" width="70.7265625" style="109" customWidth="1"/>
    <col min="15364" max="15365" width="6.26953125" style="109" customWidth="1"/>
    <col min="15366" max="15366" width="6.453125" style="109" bestFit="1" customWidth="1"/>
    <col min="15367" max="15367" width="8" style="109" bestFit="1" customWidth="1"/>
    <col min="15368" max="15368" width="5.54296875" style="109" customWidth="1"/>
    <col min="15369" max="15369" width="5.26953125" style="109" customWidth="1"/>
    <col min="15370" max="15370" width="6.453125" style="109" bestFit="1" customWidth="1"/>
    <col min="15371" max="15371" width="8" style="109" bestFit="1" customWidth="1"/>
    <col min="15372" max="15372" width="5.7265625" style="109" customWidth="1"/>
    <col min="15373" max="15374" width="4.7265625" style="109" customWidth="1"/>
    <col min="15375" max="15616" width="8.7265625" style="109"/>
    <col min="15617" max="15618" width="2.7265625" style="109" customWidth="1"/>
    <col min="15619" max="15619" width="70.7265625" style="109" customWidth="1"/>
    <col min="15620" max="15621" width="6.26953125" style="109" customWidth="1"/>
    <col min="15622" max="15622" width="6.453125" style="109" bestFit="1" customWidth="1"/>
    <col min="15623" max="15623" width="8" style="109" bestFit="1" customWidth="1"/>
    <col min="15624" max="15624" width="5.54296875" style="109" customWidth="1"/>
    <col min="15625" max="15625" width="5.26953125" style="109" customWidth="1"/>
    <col min="15626" max="15626" width="6.453125" style="109" bestFit="1" customWidth="1"/>
    <col min="15627" max="15627" width="8" style="109" bestFit="1" customWidth="1"/>
    <col min="15628" max="15628" width="5.7265625" style="109" customWidth="1"/>
    <col min="15629" max="15630" width="4.7265625" style="109" customWidth="1"/>
    <col min="15631" max="15872" width="8.7265625" style="109"/>
    <col min="15873" max="15874" width="2.7265625" style="109" customWidth="1"/>
    <col min="15875" max="15875" width="70.7265625" style="109" customWidth="1"/>
    <col min="15876" max="15877" width="6.26953125" style="109" customWidth="1"/>
    <col min="15878" max="15878" width="6.453125" style="109" bestFit="1" customWidth="1"/>
    <col min="15879" max="15879" width="8" style="109" bestFit="1" customWidth="1"/>
    <col min="15880" max="15880" width="5.54296875" style="109" customWidth="1"/>
    <col min="15881" max="15881" width="5.26953125" style="109" customWidth="1"/>
    <col min="15882" max="15882" width="6.453125" style="109" bestFit="1" customWidth="1"/>
    <col min="15883" max="15883" width="8" style="109" bestFit="1" customWidth="1"/>
    <col min="15884" max="15884" width="5.7265625" style="109" customWidth="1"/>
    <col min="15885" max="15886" width="4.7265625" style="109" customWidth="1"/>
    <col min="15887" max="16128" width="8.7265625" style="109"/>
    <col min="16129" max="16130" width="2.7265625" style="109" customWidth="1"/>
    <col min="16131" max="16131" width="70.7265625" style="109" customWidth="1"/>
    <col min="16132" max="16133" width="6.26953125" style="109" customWidth="1"/>
    <col min="16134" max="16134" width="6.453125" style="109" bestFit="1" customWidth="1"/>
    <col min="16135" max="16135" width="8" style="109" bestFit="1" customWidth="1"/>
    <col min="16136" max="16136" width="5.54296875" style="109" customWidth="1"/>
    <col min="16137" max="16137" width="5.26953125" style="109" customWidth="1"/>
    <col min="16138" max="16138" width="6.453125" style="109" bestFit="1" customWidth="1"/>
    <col min="16139" max="16139" width="8" style="109" bestFit="1" customWidth="1"/>
    <col min="16140" max="16140" width="5.7265625" style="109" customWidth="1"/>
    <col min="16141" max="16142" width="4.7265625" style="109" customWidth="1"/>
    <col min="16143" max="16384" width="8.7265625" style="109"/>
  </cols>
  <sheetData>
    <row r="1" spans="1:13" ht="14.5" x14ac:dyDescent="0.25">
      <c r="D1" s="207" t="s">
        <v>1092</v>
      </c>
      <c r="E1" s="207"/>
      <c r="F1" s="207"/>
      <c r="G1" s="207"/>
      <c r="H1" s="207"/>
      <c r="I1" s="207"/>
      <c r="J1" s="207"/>
      <c r="K1" s="207"/>
      <c r="L1" s="207"/>
      <c r="M1" s="207"/>
    </row>
    <row r="2" spans="1:13" x14ac:dyDescent="0.25">
      <c r="C2" s="124"/>
      <c r="D2" s="207" t="s">
        <v>1093</v>
      </c>
      <c r="E2" s="207"/>
      <c r="F2" s="207"/>
      <c r="G2" s="208"/>
      <c r="H2" s="209" t="s">
        <v>1094</v>
      </c>
      <c r="I2" s="207"/>
      <c r="J2" s="207"/>
      <c r="K2" s="208"/>
      <c r="L2" s="109" t="s">
        <v>1095</v>
      </c>
    </row>
    <row r="3" spans="1:13" ht="14.5" x14ac:dyDescent="0.25">
      <c r="C3" s="124" t="s">
        <v>1096</v>
      </c>
      <c r="D3" s="124" t="s">
        <v>1097</v>
      </c>
      <c r="E3" s="124" t="s">
        <v>1098</v>
      </c>
      <c r="F3" s="207" t="s">
        <v>1099</v>
      </c>
      <c r="G3" s="208"/>
      <c r="H3" s="126" t="s">
        <v>1097</v>
      </c>
      <c r="I3" s="124" t="s">
        <v>1098</v>
      </c>
      <c r="J3" s="207" t="s">
        <v>1099</v>
      </c>
      <c r="K3" s="208"/>
      <c r="L3" s="124" t="s">
        <v>1097</v>
      </c>
      <c r="M3" s="124" t="s">
        <v>1098</v>
      </c>
    </row>
    <row r="4" spans="1:13" x14ac:dyDescent="0.25">
      <c r="A4" s="127"/>
      <c r="B4" s="127"/>
      <c r="C4" s="127"/>
      <c r="D4" s="127"/>
      <c r="E4" s="127"/>
      <c r="F4" s="127" t="s">
        <v>953</v>
      </c>
      <c r="G4" s="128" t="s">
        <v>952</v>
      </c>
      <c r="H4" s="129"/>
      <c r="I4" s="127"/>
      <c r="J4" s="130" t="s">
        <v>953</v>
      </c>
      <c r="K4" s="131" t="s">
        <v>952</v>
      </c>
      <c r="L4" s="127"/>
      <c r="M4" s="127"/>
    </row>
    <row r="5" spans="1:13" x14ac:dyDescent="0.25">
      <c r="A5" s="109" t="s">
        <v>1100</v>
      </c>
      <c r="G5" s="132"/>
      <c r="H5" s="133"/>
      <c r="K5" s="132"/>
    </row>
    <row r="6" spans="1:13" x14ac:dyDescent="0.25">
      <c r="B6" s="109" t="s">
        <v>1101</v>
      </c>
      <c r="G6" s="132"/>
      <c r="H6" s="133"/>
      <c r="K6" s="132"/>
    </row>
    <row r="7" spans="1:13" ht="37.5" x14ac:dyDescent="0.25">
      <c r="C7" s="134" t="s">
        <v>1102</v>
      </c>
      <c r="D7" s="135">
        <v>6</v>
      </c>
      <c r="E7" s="135">
        <v>1</v>
      </c>
      <c r="F7" s="135">
        <v>1</v>
      </c>
      <c r="G7" s="136">
        <v>1</v>
      </c>
      <c r="H7" s="133"/>
      <c r="K7" s="132"/>
    </row>
    <row r="8" spans="1:13" x14ac:dyDescent="0.25">
      <c r="G8" s="132"/>
      <c r="H8" s="133"/>
      <c r="K8" s="132"/>
    </row>
    <row r="9" spans="1:13" x14ac:dyDescent="0.25">
      <c r="B9" s="109" t="s">
        <v>1103</v>
      </c>
      <c r="G9" s="132"/>
      <c r="H9" s="133"/>
      <c r="K9" s="132"/>
    </row>
    <row r="10" spans="1:13" ht="62.5" x14ac:dyDescent="0.25">
      <c r="C10" s="134" t="s">
        <v>1104</v>
      </c>
      <c r="D10" s="135">
        <v>4</v>
      </c>
      <c r="E10" s="135">
        <v>1</v>
      </c>
      <c r="F10" s="135">
        <v>1</v>
      </c>
      <c r="G10" s="136">
        <v>2</v>
      </c>
      <c r="H10" s="133"/>
      <c r="K10" s="132"/>
    </row>
    <row r="11" spans="1:13" x14ac:dyDescent="0.25">
      <c r="G11" s="132"/>
      <c r="H11" s="133"/>
      <c r="K11" s="132"/>
    </row>
    <row r="12" spans="1:13" x14ac:dyDescent="0.25">
      <c r="B12" s="109" t="s">
        <v>1105</v>
      </c>
      <c r="G12" s="132"/>
      <c r="H12" s="133"/>
      <c r="K12" s="132"/>
    </row>
    <row r="13" spans="1:13" ht="38.25" customHeight="1" x14ac:dyDescent="0.25">
      <c r="C13" s="134" t="s">
        <v>1106</v>
      </c>
      <c r="D13" s="135">
        <v>5</v>
      </c>
      <c r="E13" s="135">
        <v>5</v>
      </c>
      <c r="F13" s="135">
        <v>5</v>
      </c>
      <c r="G13" s="136" t="s">
        <v>1107</v>
      </c>
      <c r="H13" s="133"/>
      <c r="K13" s="132"/>
    </row>
    <row r="14" spans="1:13" x14ac:dyDescent="0.25">
      <c r="G14" s="132"/>
      <c r="H14" s="133"/>
      <c r="K14" s="132"/>
    </row>
    <row r="15" spans="1:13" x14ac:dyDescent="0.25">
      <c r="B15" s="109" t="s">
        <v>1108</v>
      </c>
      <c r="G15" s="132"/>
      <c r="H15" s="133"/>
      <c r="K15" s="132"/>
    </row>
    <row r="16" spans="1:13" ht="39.5" x14ac:dyDescent="0.25">
      <c r="C16" s="134" t="s">
        <v>1109</v>
      </c>
      <c r="D16" s="135">
        <v>4</v>
      </c>
      <c r="E16" s="135">
        <v>0</v>
      </c>
      <c r="F16" s="135">
        <v>0</v>
      </c>
      <c r="G16" s="136" t="s">
        <v>1110</v>
      </c>
      <c r="H16" s="137">
        <v>3</v>
      </c>
      <c r="I16" s="135">
        <v>3</v>
      </c>
      <c r="J16" s="135">
        <v>3</v>
      </c>
      <c r="K16" s="136" t="s">
        <v>1111</v>
      </c>
    </row>
    <row r="17" spans="1:11" x14ac:dyDescent="0.25">
      <c r="G17" s="132"/>
      <c r="H17" s="133"/>
      <c r="K17" s="132"/>
    </row>
    <row r="18" spans="1:11" x14ac:dyDescent="0.25">
      <c r="B18" s="109" t="s">
        <v>1112</v>
      </c>
      <c r="G18" s="132"/>
      <c r="H18" s="133"/>
      <c r="K18" s="132"/>
    </row>
    <row r="19" spans="1:11" ht="63.75" customHeight="1" x14ac:dyDescent="0.25">
      <c r="C19" s="134" t="s">
        <v>1113</v>
      </c>
      <c r="D19" s="135">
        <v>12</v>
      </c>
      <c r="E19" s="135">
        <v>4</v>
      </c>
      <c r="F19" s="135">
        <v>2</v>
      </c>
      <c r="G19" s="136">
        <v>4</v>
      </c>
      <c r="H19" s="133"/>
      <c r="K19" s="132"/>
    </row>
    <row r="20" spans="1:11" x14ac:dyDescent="0.25">
      <c r="G20" s="132"/>
      <c r="H20" s="133"/>
      <c r="K20" s="132"/>
    </row>
    <row r="21" spans="1:11" x14ac:dyDescent="0.25">
      <c r="B21" s="109" t="s">
        <v>1114</v>
      </c>
      <c r="G21" s="132"/>
      <c r="H21" s="133"/>
      <c r="K21" s="132"/>
    </row>
    <row r="22" spans="1:11" ht="25" x14ac:dyDescent="0.25">
      <c r="C22" s="134" t="s">
        <v>1115</v>
      </c>
      <c r="D22" s="135">
        <v>20</v>
      </c>
      <c r="E22" s="135">
        <v>4</v>
      </c>
      <c r="F22" s="135">
        <v>4</v>
      </c>
      <c r="G22" s="136">
        <v>6</v>
      </c>
      <c r="H22" s="133"/>
      <c r="K22" s="132"/>
    </row>
    <row r="23" spans="1:11" x14ac:dyDescent="0.25">
      <c r="G23" s="132"/>
      <c r="H23" s="133"/>
      <c r="K23" s="132"/>
    </row>
    <row r="24" spans="1:11" x14ac:dyDescent="0.25">
      <c r="A24" s="109" t="s">
        <v>1116</v>
      </c>
      <c r="G24" s="132"/>
      <c r="H24" s="133"/>
      <c r="K24" s="132"/>
    </row>
    <row r="25" spans="1:11" x14ac:dyDescent="0.25">
      <c r="B25" s="109" t="s">
        <v>1117</v>
      </c>
      <c r="G25" s="132"/>
      <c r="H25" s="133"/>
      <c r="K25" s="132"/>
    </row>
    <row r="26" spans="1:11" ht="50" x14ac:dyDescent="0.25">
      <c r="C26" s="134" t="s">
        <v>1118</v>
      </c>
      <c r="D26" s="135">
        <v>6</v>
      </c>
      <c r="E26" s="135">
        <v>2</v>
      </c>
      <c r="F26" s="135">
        <v>2</v>
      </c>
      <c r="G26" s="136">
        <v>2</v>
      </c>
      <c r="H26" s="133"/>
      <c r="K26" s="132"/>
    </row>
    <row r="27" spans="1:11" x14ac:dyDescent="0.25">
      <c r="G27" s="132"/>
      <c r="H27" s="133"/>
      <c r="K27" s="132"/>
    </row>
    <row r="28" spans="1:11" x14ac:dyDescent="0.25">
      <c r="B28" s="109" t="s">
        <v>1119</v>
      </c>
      <c r="G28" s="132"/>
      <c r="H28" s="133"/>
      <c r="K28" s="132"/>
    </row>
    <row r="29" spans="1:11" ht="37.5" x14ac:dyDescent="0.25">
      <c r="C29" s="134" t="s">
        <v>1120</v>
      </c>
      <c r="D29" s="135">
        <v>40</v>
      </c>
      <c r="E29" s="135">
        <v>10</v>
      </c>
      <c r="F29" s="135">
        <v>10</v>
      </c>
      <c r="G29" s="136">
        <v>20</v>
      </c>
      <c r="H29" s="137">
        <v>4</v>
      </c>
      <c r="I29" s="135">
        <v>1</v>
      </c>
      <c r="J29" s="135">
        <v>1</v>
      </c>
      <c r="K29" s="136">
        <v>2</v>
      </c>
    </row>
    <row r="30" spans="1:11" x14ac:dyDescent="0.25">
      <c r="G30" s="132"/>
      <c r="H30" s="133"/>
      <c r="K30" s="132"/>
    </row>
    <row r="31" spans="1:11" x14ac:dyDescent="0.25">
      <c r="B31" s="109" t="s">
        <v>1121</v>
      </c>
      <c r="G31" s="132"/>
      <c r="H31" s="133"/>
      <c r="K31" s="132"/>
    </row>
    <row r="32" spans="1:11" ht="25.5" customHeight="1" x14ac:dyDescent="0.25">
      <c r="C32" s="138" t="s">
        <v>1122</v>
      </c>
      <c r="D32" s="135">
        <v>6</v>
      </c>
      <c r="E32" s="135">
        <v>4</v>
      </c>
      <c r="F32" s="135">
        <v>4</v>
      </c>
      <c r="G32" s="136">
        <v>4</v>
      </c>
      <c r="H32" s="133"/>
      <c r="K32" s="132"/>
    </row>
    <row r="33" spans="2:11" x14ac:dyDescent="0.25">
      <c r="G33" s="132"/>
      <c r="H33" s="133"/>
      <c r="K33" s="132"/>
    </row>
    <row r="34" spans="2:11" x14ac:dyDescent="0.25">
      <c r="B34" s="109" t="s">
        <v>1123</v>
      </c>
      <c r="G34" s="132"/>
      <c r="H34" s="133"/>
      <c r="K34" s="132"/>
    </row>
    <row r="35" spans="2:11" ht="25" x14ac:dyDescent="0.25">
      <c r="C35" s="134" t="s">
        <v>1124</v>
      </c>
      <c r="D35" s="135">
        <v>30</v>
      </c>
      <c r="E35" s="135">
        <v>10</v>
      </c>
      <c r="F35" s="135">
        <v>10</v>
      </c>
      <c r="G35" s="136">
        <v>20</v>
      </c>
      <c r="H35" s="133"/>
      <c r="K35" s="132"/>
    </row>
    <row r="36" spans="2:11" x14ac:dyDescent="0.25">
      <c r="C36" s="134"/>
      <c r="G36" s="132"/>
      <c r="H36" s="133"/>
      <c r="K36" s="132"/>
    </row>
    <row r="37" spans="2:11" x14ac:dyDescent="0.25">
      <c r="B37" s="109" t="s">
        <v>1125</v>
      </c>
      <c r="C37" s="134"/>
      <c r="G37" s="132"/>
      <c r="H37" s="133"/>
      <c r="K37" s="132"/>
    </row>
    <row r="38" spans="2:11" ht="25" x14ac:dyDescent="0.25">
      <c r="C38" s="134" t="s">
        <v>1126</v>
      </c>
      <c r="D38" s="135">
        <v>4.5</v>
      </c>
      <c r="E38" s="135">
        <v>3</v>
      </c>
      <c r="F38" s="135">
        <v>3</v>
      </c>
      <c r="G38" s="136">
        <v>3</v>
      </c>
      <c r="H38" s="133"/>
      <c r="K38" s="132"/>
    </row>
    <row r="39" spans="2:11" x14ac:dyDescent="0.25">
      <c r="C39" s="134"/>
      <c r="G39" s="132"/>
      <c r="H39" s="133"/>
      <c r="K39" s="132"/>
    </row>
    <row r="40" spans="2:11" x14ac:dyDescent="0.25">
      <c r="B40" s="109" t="s">
        <v>1127</v>
      </c>
      <c r="C40" s="134"/>
      <c r="G40" s="132"/>
      <c r="H40" s="133"/>
      <c r="K40" s="132"/>
    </row>
    <row r="41" spans="2:11" x14ac:dyDescent="0.25">
      <c r="C41" s="134" t="s">
        <v>1128</v>
      </c>
      <c r="D41" s="135">
        <v>10</v>
      </c>
      <c r="E41" s="135">
        <v>6</v>
      </c>
      <c r="F41" s="135">
        <v>3</v>
      </c>
      <c r="G41" s="136">
        <v>6</v>
      </c>
      <c r="H41" s="133"/>
      <c r="K41" s="132"/>
    </row>
    <row r="42" spans="2:11" x14ac:dyDescent="0.25">
      <c r="C42" s="134"/>
      <c r="G42" s="132"/>
      <c r="H42" s="133"/>
      <c r="K42" s="132"/>
    </row>
    <row r="43" spans="2:11" x14ac:dyDescent="0.25">
      <c r="B43" s="109" t="s">
        <v>1129</v>
      </c>
      <c r="C43" s="134"/>
      <c r="G43" s="132"/>
      <c r="H43" s="133"/>
      <c r="K43" s="132"/>
    </row>
    <row r="44" spans="2:11" ht="38.25" customHeight="1" x14ac:dyDescent="0.25">
      <c r="C44" s="134" t="s">
        <v>1130</v>
      </c>
      <c r="D44" s="135">
        <v>40</v>
      </c>
      <c r="E44" s="135">
        <v>30</v>
      </c>
      <c r="F44" s="135">
        <v>20</v>
      </c>
      <c r="G44" s="136">
        <v>30</v>
      </c>
      <c r="H44" s="137"/>
      <c r="I44" s="135"/>
      <c r="J44" s="135"/>
      <c r="K44" s="136"/>
    </row>
    <row r="45" spans="2:11" x14ac:dyDescent="0.25">
      <c r="C45" s="134"/>
      <c r="G45" s="132"/>
      <c r="H45" s="133"/>
      <c r="K45" s="132"/>
    </row>
    <row r="46" spans="2:11" ht="25" x14ac:dyDescent="0.25">
      <c r="C46" s="134" t="s">
        <v>1131</v>
      </c>
      <c r="D46" s="135">
        <v>8</v>
      </c>
      <c r="E46" s="135">
        <v>8</v>
      </c>
      <c r="F46" s="135">
        <v>8</v>
      </c>
      <c r="G46" s="136">
        <v>8</v>
      </c>
      <c r="H46" s="137">
        <v>16</v>
      </c>
      <c r="I46" s="135">
        <v>16</v>
      </c>
      <c r="J46" s="135">
        <v>16</v>
      </c>
      <c r="K46" s="136">
        <v>16</v>
      </c>
    </row>
    <row r="47" spans="2:11" x14ac:dyDescent="0.25">
      <c r="C47" s="134"/>
      <c r="G47" s="132"/>
      <c r="H47" s="133"/>
      <c r="K47" s="132"/>
    </row>
    <row r="48" spans="2:11" x14ac:dyDescent="0.25">
      <c r="B48" s="109" t="s">
        <v>1132</v>
      </c>
      <c r="C48" s="134"/>
      <c r="G48" s="132"/>
      <c r="H48" s="133"/>
      <c r="K48" s="132"/>
    </row>
    <row r="49" spans="1:13" ht="51" customHeight="1" x14ac:dyDescent="0.25">
      <c r="C49" s="134" t="s">
        <v>1133</v>
      </c>
      <c r="D49" s="135">
        <v>15</v>
      </c>
      <c r="E49" s="135">
        <v>12</v>
      </c>
      <c r="F49" s="135">
        <v>12</v>
      </c>
      <c r="G49" s="136">
        <v>12</v>
      </c>
      <c r="H49" s="133"/>
      <c r="K49" s="132"/>
    </row>
    <row r="50" spans="1:13" x14ac:dyDescent="0.25">
      <c r="C50" s="134"/>
      <c r="G50" s="132"/>
      <c r="H50" s="133"/>
      <c r="K50" s="132"/>
    </row>
    <row r="51" spans="1:13" x14ac:dyDescent="0.25">
      <c r="B51" s="109" t="s">
        <v>1134</v>
      </c>
      <c r="C51" s="134"/>
      <c r="G51" s="132"/>
      <c r="H51" s="133"/>
      <c r="K51" s="132"/>
    </row>
    <row r="52" spans="1:13" ht="37.5" x14ac:dyDescent="0.25">
      <c r="C52" s="134" t="s">
        <v>1135</v>
      </c>
      <c r="D52" s="135">
        <v>40</v>
      </c>
      <c r="E52" s="135">
        <v>28</v>
      </c>
      <c r="F52" s="135">
        <v>8</v>
      </c>
      <c r="G52" s="136">
        <v>8</v>
      </c>
      <c r="H52" s="137">
        <v>10</v>
      </c>
      <c r="I52" s="135">
        <v>7</v>
      </c>
      <c r="J52" s="135">
        <v>4</v>
      </c>
      <c r="K52" s="136">
        <v>4</v>
      </c>
    </row>
    <row r="53" spans="1:13" x14ac:dyDescent="0.25">
      <c r="C53" s="134"/>
      <c r="G53" s="132"/>
      <c r="H53" s="133"/>
      <c r="K53" s="132"/>
    </row>
    <row r="54" spans="1:13" ht="38.25" customHeight="1" x14ac:dyDescent="0.25">
      <c r="C54" s="134" t="s">
        <v>1136</v>
      </c>
      <c r="D54" s="135">
        <v>20</v>
      </c>
      <c r="E54" s="135">
        <v>20</v>
      </c>
      <c r="F54" s="135"/>
      <c r="G54" s="136"/>
      <c r="H54" s="137">
        <v>20</v>
      </c>
      <c r="I54" s="135">
        <v>20</v>
      </c>
      <c r="J54" s="135"/>
      <c r="K54" s="136"/>
    </row>
    <row r="55" spans="1:13" x14ac:dyDescent="0.25">
      <c r="C55" s="134"/>
      <c r="D55" s="135"/>
      <c r="E55" s="135"/>
      <c r="F55" s="135"/>
      <c r="G55" s="136"/>
      <c r="H55" s="137"/>
      <c r="I55" s="135"/>
      <c r="J55" s="135"/>
      <c r="K55" s="136"/>
    </row>
    <row r="56" spans="1:13" x14ac:dyDescent="0.25">
      <c r="A56" s="109" t="s">
        <v>1137</v>
      </c>
      <c r="C56" s="134"/>
      <c r="D56" s="135"/>
      <c r="E56" s="135"/>
      <c r="F56" s="135"/>
      <c r="G56" s="136"/>
      <c r="H56" s="137"/>
      <c r="I56" s="135"/>
      <c r="J56" s="135"/>
      <c r="K56" s="136"/>
    </row>
    <row r="57" spans="1:13" ht="14.5" x14ac:dyDescent="0.25">
      <c r="B57" s="109" t="s">
        <v>1138</v>
      </c>
      <c r="C57" s="134"/>
      <c r="D57" s="135"/>
      <c r="E57" s="135"/>
      <c r="F57" s="135"/>
      <c r="G57" s="136"/>
      <c r="H57" s="137" t="s">
        <v>1139</v>
      </c>
      <c r="I57" s="135">
        <v>32</v>
      </c>
      <c r="J57" s="135">
        <v>1</v>
      </c>
      <c r="K57" s="136" t="s">
        <v>1140</v>
      </c>
    </row>
    <row r="58" spans="1:13" ht="14.5" x14ac:dyDescent="0.25">
      <c r="B58" s="109" t="s">
        <v>1141</v>
      </c>
      <c r="C58" s="134"/>
      <c r="D58" s="135"/>
      <c r="E58" s="135"/>
      <c r="F58" s="135"/>
      <c r="G58" s="136"/>
      <c r="H58" s="137">
        <v>32</v>
      </c>
      <c r="I58" s="135">
        <v>4</v>
      </c>
      <c r="J58" s="135">
        <v>3.2</v>
      </c>
      <c r="K58" s="136" t="s">
        <v>1142</v>
      </c>
    </row>
    <row r="59" spans="1:13" ht="14.5" x14ac:dyDescent="0.25">
      <c r="B59" s="109" t="s">
        <v>1143</v>
      </c>
      <c r="C59" s="134"/>
      <c r="D59" s="135"/>
      <c r="E59" s="135"/>
      <c r="F59" s="135"/>
      <c r="G59" s="136"/>
      <c r="H59" s="137" t="s">
        <v>1144</v>
      </c>
      <c r="I59" s="135" t="s">
        <v>1145</v>
      </c>
      <c r="J59" s="135"/>
      <c r="K59" s="136"/>
    </row>
    <row r="60" spans="1:13" x14ac:dyDescent="0.25">
      <c r="C60" s="134"/>
      <c r="D60" s="135"/>
      <c r="E60" s="135"/>
      <c r="F60" s="135"/>
      <c r="G60" s="136"/>
      <c r="H60" s="137"/>
      <c r="I60" s="135"/>
      <c r="J60" s="135"/>
      <c r="K60" s="136"/>
    </row>
    <row r="61" spans="1:13" x14ac:dyDescent="0.25">
      <c r="A61" s="109" t="s">
        <v>1146</v>
      </c>
      <c r="C61" s="134"/>
      <c r="D61" s="135"/>
      <c r="E61" s="135"/>
      <c r="F61" s="135"/>
      <c r="G61" s="136"/>
      <c r="H61" s="137"/>
      <c r="I61" s="135"/>
      <c r="J61" s="135"/>
      <c r="K61" s="136"/>
    </row>
    <row r="62" spans="1:13" x14ac:dyDescent="0.25">
      <c r="B62" s="109" t="s">
        <v>1147</v>
      </c>
      <c r="C62" s="134"/>
      <c r="D62" s="135">
        <v>3</v>
      </c>
      <c r="E62" s="135">
        <v>1</v>
      </c>
      <c r="F62" s="135">
        <v>2</v>
      </c>
      <c r="G62" s="136">
        <v>2</v>
      </c>
      <c r="H62" s="137"/>
      <c r="I62" s="135"/>
      <c r="J62" s="135"/>
      <c r="K62" s="136"/>
    </row>
    <row r="63" spans="1:13" x14ac:dyDescent="0.25">
      <c r="A63" s="139"/>
      <c r="B63" s="139" t="s">
        <v>1148</v>
      </c>
      <c r="C63" s="140"/>
      <c r="D63" s="141">
        <v>15.2</v>
      </c>
      <c r="E63" s="141">
        <v>12.8</v>
      </c>
      <c r="F63" s="141"/>
      <c r="G63" s="142"/>
      <c r="H63" s="143"/>
      <c r="I63" s="141"/>
      <c r="J63" s="141"/>
      <c r="K63" s="142"/>
      <c r="L63" s="139"/>
      <c r="M63" s="139"/>
    </row>
    <row r="64" spans="1:13" x14ac:dyDescent="0.25">
      <c r="B64" s="109" t="s">
        <v>1149</v>
      </c>
      <c r="C64" s="134"/>
      <c r="D64" s="135">
        <v>3.68</v>
      </c>
      <c r="E64" s="135">
        <v>2.72</v>
      </c>
      <c r="F64" s="135"/>
      <c r="G64" s="136"/>
      <c r="H64" s="137">
        <v>7.36</v>
      </c>
      <c r="I64" s="135">
        <v>5.44</v>
      </c>
      <c r="J64" s="135"/>
      <c r="K64" s="136"/>
      <c r="L64" s="135">
        <v>11.04</v>
      </c>
      <c r="M64" s="135">
        <v>8.16</v>
      </c>
    </row>
    <row r="65" spans="1:13" x14ac:dyDescent="0.25">
      <c r="A65" s="139"/>
      <c r="B65" s="139" t="s">
        <v>1150</v>
      </c>
      <c r="C65" s="140"/>
      <c r="D65" s="141"/>
      <c r="E65" s="141"/>
      <c r="F65" s="141">
        <v>10</v>
      </c>
      <c r="G65" s="142">
        <v>10</v>
      </c>
      <c r="H65" s="143"/>
      <c r="I65" s="141"/>
      <c r="J65" s="141"/>
      <c r="K65" s="142"/>
      <c r="L65" s="139">
        <v>80</v>
      </c>
      <c r="M65" s="139">
        <v>50</v>
      </c>
    </row>
    <row r="66" spans="1:13" x14ac:dyDescent="0.25">
      <c r="B66" s="109" t="s">
        <v>1151</v>
      </c>
      <c r="C66" s="134"/>
      <c r="D66" s="135">
        <v>6</v>
      </c>
      <c r="E66" s="135">
        <v>2</v>
      </c>
      <c r="F66" s="135" t="s">
        <v>1152</v>
      </c>
      <c r="G66" s="136" t="s">
        <v>1152</v>
      </c>
      <c r="H66" s="137">
        <v>3</v>
      </c>
      <c r="I66" s="135">
        <v>2</v>
      </c>
      <c r="J66" s="135"/>
      <c r="K66" s="136"/>
    </row>
    <row r="67" spans="1:13" x14ac:dyDescent="0.25">
      <c r="A67" s="139"/>
      <c r="B67" s="139" t="s">
        <v>1153</v>
      </c>
      <c r="C67" s="140"/>
      <c r="D67" s="141"/>
      <c r="E67" s="141"/>
      <c r="F67" s="141">
        <v>5</v>
      </c>
      <c r="G67" s="142">
        <v>5</v>
      </c>
      <c r="H67" s="143"/>
      <c r="I67" s="141"/>
      <c r="J67" s="141"/>
      <c r="K67" s="142"/>
      <c r="L67" s="139">
        <v>20</v>
      </c>
      <c r="M67" s="139">
        <v>5</v>
      </c>
    </row>
    <row r="68" spans="1:13" x14ac:dyDescent="0.25">
      <c r="B68" s="109" t="s">
        <v>1154</v>
      </c>
      <c r="C68" s="134"/>
      <c r="D68" s="135">
        <v>3.68</v>
      </c>
      <c r="E68" s="135"/>
      <c r="F68" s="135"/>
      <c r="G68" s="136"/>
      <c r="H68" s="137">
        <v>2.72</v>
      </c>
      <c r="I68" s="135"/>
      <c r="J68" s="135"/>
      <c r="K68" s="136"/>
    </row>
    <row r="69" spans="1:13" x14ac:dyDescent="0.25">
      <c r="A69" s="139"/>
      <c r="B69" s="139" t="s">
        <v>1155</v>
      </c>
      <c r="C69" s="140"/>
      <c r="D69" s="141">
        <v>7.52</v>
      </c>
      <c r="E69" s="141">
        <v>6.08</v>
      </c>
      <c r="F69" s="141">
        <v>3</v>
      </c>
      <c r="G69" s="142">
        <v>3</v>
      </c>
      <c r="H69" s="143">
        <v>7.52</v>
      </c>
      <c r="I69" s="141">
        <v>8.08</v>
      </c>
      <c r="J69" s="141">
        <v>4</v>
      </c>
      <c r="K69" s="142">
        <v>4</v>
      </c>
      <c r="L69" s="141">
        <v>5.64</v>
      </c>
      <c r="M69" s="141">
        <v>4.5599999999999996</v>
      </c>
    </row>
    <row r="70" spans="1:13" x14ac:dyDescent="0.25">
      <c r="C70" s="134"/>
      <c r="D70" s="135"/>
      <c r="E70" s="135"/>
      <c r="F70" s="135"/>
      <c r="G70" s="136"/>
      <c r="H70" s="137"/>
      <c r="I70" s="135"/>
      <c r="J70" s="135"/>
      <c r="K70" s="136"/>
    </row>
    <row r="71" spans="1:13" x14ac:dyDescent="0.25">
      <c r="A71" s="109" t="s">
        <v>1156</v>
      </c>
      <c r="C71" s="134"/>
      <c r="D71" s="135"/>
      <c r="E71" s="135"/>
      <c r="F71" s="135"/>
      <c r="G71" s="136"/>
      <c r="H71" s="137"/>
      <c r="I71" s="135"/>
      <c r="J71" s="135"/>
      <c r="K71" s="136"/>
    </row>
    <row r="72" spans="1:13" x14ac:dyDescent="0.25">
      <c r="B72" s="109" t="s">
        <v>1157</v>
      </c>
      <c r="C72" s="134"/>
      <c r="D72" s="135"/>
      <c r="E72" s="135"/>
      <c r="F72" s="135"/>
      <c r="G72" s="136"/>
      <c r="H72" s="137"/>
      <c r="I72" s="135">
        <v>0.05</v>
      </c>
      <c r="J72" s="135">
        <v>0.25</v>
      </c>
      <c r="K72" s="136">
        <v>0.25</v>
      </c>
    </row>
    <row r="73" spans="1:13" ht="14.5" x14ac:dyDescent="0.25">
      <c r="A73" s="139"/>
      <c r="B73" s="139" t="s">
        <v>1158</v>
      </c>
      <c r="C73" s="140"/>
      <c r="D73" s="141"/>
      <c r="E73" s="141"/>
      <c r="F73" s="141"/>
      <c r="G73" s="142"/>
      <c r="H73" s="143">
        <v>0.5</v>
      </c>
      <c r="I73" s="141"/>
      <c r="J73" s="141"/>
      <c r="K73" s="142"/>
    </row>
    <row r="74" spans="1:13" x14ac:dyDescent="0.25">
      <c r="B74" s="109" t="s">
        <v>1159</v>
      </c>
      <c r="C74" s="134"/>
      <c r="D74" s="135"/>
      <c r="E74" s="135"/>
      <c r="F74" s="135"/>
      <c r="G74" s="136"/>
      <c r="H74" s="137"/>
      <c r="I74" s="135">
        <v>0.25</v>
      </c>
      <c r="J74" s="135"/>
      <c r="K74" s="136"/>
    </row>
    <row r="75" spans="1:13" ht="14.5" x14ac:dyDescent="0.25">
      <c r="A75" s="139"/>
      <c r="B75" s="139" t="s">
        <v>1160</v>
      </c>
      <c r="C75" s="140"/>
      <c r="D75" s="141"/>
      <c r="E75" s="141"/>
      <c r="F75" s="141"/>
      <c r="G75" s="142"/>
      <c r="H75" s="143">
        <v>2</v>
      </c>
      <c r="I75" s="141"/>
      <c r="J75" s="141"/>
      <c r="K75" s="142"/>
    </row>
    <row r="76" spans="1:13" ht="14.5" x14ac:dyDescent="0.25">
      <c r="B76" s="109" t="s">
        <v>1161</v>
      </c>
      <c r="C76" s="134"/>
      <c r="D76" s="135"/>
      <c r="E76" s="135"/>
      <c r="F76" s="135"/>
      <c r="G76" s="136"/>
      <c r="H76" s="137"/>
      <c r="I76" s="135">
        <v>2</v>
      </c>
      <c r="J76" s="135">
        <v>1.5</v>
      </c>
      <c r="K76" s="136">
        <v>1.5</v>
      </c>
    </row>
    <row r="77" spans="1:13" ht="14.5" x14ac:dyDescent="0.25">
      <c r="A77" s="139"/>
      <c r="B77" s="139" t="s">
        <v>1162</v>
      </c>
      <c r="C77" s="140"/>
      <c r="D77" s="141"/>
      <c r="E77" s="141"/>
      <c r="F77" s="141"/>
      <c r="G77" s="142"/>
      <c r="H77" s="143">
        <v>5</v>
      </c>
      <c r="I77" s="141"/>
      <c r="J77" s="141"/>
      <c r="K77" s="142"/>
    </row>
    <row r="78" spans="1:13" x14ac:dyDescent="0.25">
      <c r="B78" s="109" t="s">
        <v>1163</v>
      </c>
      <c r="C78" s="134"/>
      <c r="D78" s="135"/>
      <c r="E78" s="135"/>
      <c r="F78" s="135"/>
      <c r="G78" s="136"/>
      <c r="H78" s="137"/>
      <c r="I78" s="135" t="s">
        <v>304</v>
      </c>
      <c r="J78" s="135"/>
      <c r="K78" s="136"/>
    </row>
    <row r="79" spans="1:13" x14ac:dyDescent="0.25">
      <c r="A79" s="139"/>
      <c r="B79" s="139" t="s">
        <v>1164</v>
      </c>
      <c r="C79" s="140"/>
      <c r="D79" s="141"/>
      <c r="E79" s="141"/>
      <c r="F79" s="141"/>
      <c r="G79" s="142"/>
      <c r="H79" s="143"/>
      <c r="I79" s="141"/>
      <c r="J79" s="141"/>
      <c r="K79" s="142"/>
    </row>
    <row r="80" spans="1:13" x14ac:dyDescent="0.25">
      <c r="C80" s="134"/>
      <c r="D80" s="135"/>
      <c r="E80" s="135"/>
      <c r="F80" s="135"/>
      <c r="G80" s="136"/>
      <c r="H80" s="137"/>
      <c r="I80" s="135"/>
      <c r="J80" s="135"/>
      <c r="K80" s="136"/>
    </row>
    <row r="81" spans="1:13" x14ac:dyDescent="0.25">
      <c r="A81" s="109" t="s">
        <v>1165</v>
      </c>
      <c r="C81" s="134"/>
      <c r="D81" s="135"/>
      <c r="E81" s="135"/>
      <c r="F81" s="135"/>
      <c r="G81" s="136"/>
      <c r="H81" s="137"/>
      <c r="I81" s="135"/>
      <c r="J81" s="135"/>
      <c r="K81" s="136"/>
    </row>
    <row r="82" spans="1:13" x14ac:dyDescent="0.25">
      <c r="B82" s="109" t="s">
        <v>1166</v>
      </c>
      <c r="C82" s="134"/>
      <c r="D82" s="135"/>
      <c r="E82" s="135"/>
      <c r="F82" s="135"/>
      <c r="G82" s="136"/>
      <c r="H82" s="137">
        <v>0.25</v>
      </c>
      <c r="I82" s="135">
        <v>0.5</v>
      </c>
      <c r="J82" s="135"/>
      <c r="K82" s="136"/>
    </row>
    <row r="83" spans="1:13" ht="14.5" x14ac:dyDescent="0.25">
      <c r="A83" s="139"/>
      <c r="B83" s="139" t="s">
        <v>1167</v>
      </c>
      <c r="C83" s="140"/>
      <c r="D83" s="141">
        <v>1</v>
      </c>
      <c r="E83" s="141">
        <v>0.25</v>
      </c>
      <c r="F83" s="141"/>
      <c r="G83" s="142"/>
      <c r="H83" s="143">
        <v>4</v>
      </c>
      <c r="I83" s="141">
        <v>1</v>
      </c>
      <c r="J83" s="141">
        <v>0.25</v>
      </c>
      <c r="K83" s="142">
        <v>0.25</v>
      </c>
    </row>
    <row r="84" spans="1:13" x14ac:dyDescent="0.25">
      <c r="B84" s="109" t="s">
        <v>1168</v>
      </c>
      <c r="C84" s="134"/>
      <c r="D84" s="135">
        <v>1</v>
      </c>
      <c r="E84" s="135">
        <v>0.5</v>
      </c>
      <c r="F84" s="135"/>
      <c r="G84" s="136"/>
      <c r="H84" s="137">
        <v>4</v>
      </c>
      <c r="I84" s="135">
        <v>2</v>
      </c>
      <c r="J84" s="135"/>
      <c r="K84" s="136"/>
    </row>
    <row r="85" spans="1:13" x14ac:dyDescent="0.25">
      <c r="A85" s="139"/>
      <c r="B85" s="139" t="s">
        <v>1169</v>
      </c>
      <c r="C85" s="140"/>
      <c r="D85" s="141"/>
      <c r="E85" s="141"/>
      <c r="F85" s="141">
        <v>0.5</v>
      </c>
      <c r="G85" s="142">
        <v>0.5</v>
      </c>
      <c r="H85" s="143"/>
      <c r="I85" s="141"/>
      <c r="J85" s="141">
        <v>1</v>
      </c>
      <c r="K85" s="142">
        <v>1</v>
      </c>
    </row>
    <row r="86" spans="1:13" x14ac:dyDescent="0.25">
      <c r="C86" s="134"/>
      <c r="D86" s="135"/>
      <c r="E86" s="135"/>
      <c r="F86" s="135"/>
      <c r="G86" s="136"/>
      <c r="H86" s="137"/>
      <c r="I86" s="135"/>
      <c r="J86" s="135"/>
      <c r="K86" s="136"/>
    </row>
    <row r="87" spans="1:13" x14ac:dyDescent="0.25">
      <c r="A87" s="109" t="s">
        <v>1170</v>
      </c>
      <c r="C87" s="134"/>
      <c r="D87" s="135"/>
      <c r="E87" s="135"/>
      <c r="F87" s="135"/>
      <c r="G87" s="136"/>
      <c r="H87" s="137"/>
      <c r="I87" s="135"/>
      <c r="J87" s="135"/>
      <c r="K87" s="136"/>
    </row>
    <row r="88" spans="1:13" x14ac:dyDescent="0.25">
      <c r="B88" s="109" t="s">
        <v>1171</v>
      </c>
      <c r="C88" s="134"/>
      <c r="D88" s="135">
        <v>5</v>
      </c>
      <c r="E88" s="135">
        <v>2</v>
      </c>
      <c r="F88" s="135"/>
      <c r="G88" s="136"/>
      <c r="H88" s="137">
        <v>16</v>
      </c>
      <c r="I88" s="135">
        <v>4</v>
      </c>
      <c r="J88" s="135"/>
      <c r="K88" s="136"/>
    </row>
    <row r="89" spans="1:13" x14ac:dyDescent="0.25">
      <c r="A89" s="139"/>
      <c r="B89" s="139" t="s">
        <v>1172</v>
      </c>
      <c r="C89" s="140"/>
      <c r="D89" s="141">
        <v>15</v>
      </c>
      <c r="E89" s="141">
        <v>5</v>
      </c>
      <c r="F89" s="141">
        <v>2</v>
      </c>
      <c r="G89" s="142">
        <v>2</v>
      </c>
      <c r="H89" s="143"/>
      <c r="I89" s="141"/>
      <c r="J89" s="141"/>
      <c r="K89" s="142"/>
    </row>
    <row r="90" spans="1:13" x14ac:dyDescent="0.25">
      <c r="B90" s="109" t="s">
        <v>1173</v>
      </c>
      <c r="C90" s="134"/>
      <c r="D90" s="135"/>
      <c r="E90" s="135"/>
      <c r="F90" s="135"/>
      <c r="G90" s="136"/>
      <c r="H90" s="137">
        <v>16</v>
      </c>
      <c r="I90" s="135">
        <v>4</v>
      </c>
      <c r="J90" s="135">
        <v>2</v>
      </c>
      <c r="K90" s="136">
        <v>2</v>
      </c>
    </row>
    <row r="91" spans="1:13" x14ac:dyDescent="0.25">
      <c r="A91" s="139"/>
      <c r="B91" s="139" t="s">
        <v>1174</v>
      </c>
      <c r="C91" s="140"/>
      <c r="D91" s="141"/>
      <c r="E91" s="141"/>
      <c r="F91" s="141"/>
      <c r="G91" s="142"/>
      <c r="H91" s="143">
        <v>18</v>
      </c>
      <c r="I91" s="141">
        <v>14</v>
      </c>
      <c r="J91" s="141">
        <v>8</v>
      </c>
      <c r="K91" s="142">
        <v>8</v>
      </c>
    </row>
    <row r="92" spans="1:13" x14ac:dyDescent="0.25">
      <c r="C92" s="134"/>
      <c r="D92" s="135"/>
      <c r="E92" s="135"/>
      <c r="F92" s="135"/>
      <c r="G92" s="136"/>
      <c r="H92" s="137"/>
      <c r="I92" s="135"/>
      <c r="J92" s="135"/>
      <c r="K92" s="136"/>
    </row>
    <row r="93" spans="1:13" x14ac:dyDescent="0.25">
      <c r="A93" s="127"/>
      <c r="B93" s="127"/>
      <c r="C93" s="127"/>
      <c r="D93" s="127"/>
      <c r="E93" s="127"/>
      <c r="F93" s="127"/>
      <c r="G93" s="128"/>
      <c r="H93" s="129"/>
      <c r="I93" s="127"/>
      <c r="J93" s="127"/>
      <c r="K93" s="128"/>
      <c r="L93" s="127"/>
      <c r="M93" s="127"/>
    </row>
    <row r="94" spans="1:13" ht="68.25" customHeight="1" x14ac:dyDescent="0.25">
      <c r="A94" s="206" t="s">
        <v>1175</v>
      </c>
      <c r="B94" s="206"/>
      <c r="C94" s="206"/>
      <c r="D94" s="206"/>
      <c r="E94" s="206"/>
      <c r="F94" s="206"/>
      <c r="G94" s="144"/>
    </row>
    <row r="95" spans="1:13" ht="15.5" x14ac:dyDescent="0.35">
      <c r="A95" s="145" t="s">
        <v>1176</v>
      </c>
    </row>
    <row r="96" spans="1:13" ht="15.5" x14ac:dyDescent="0.35">
      <c r="A96" s="145" t="s">
        <v>1177</v>
      </c>
    </row>
    <row r="97" spans="1:1" ht="15.5" x14ac:dyDescent="0.35">
      <c r="A97" s="145" t="s">
        <v>1178</v>
      </c>
    </row>
    <row r="98" spans="1:1" ht="14.5" x14ac:dyDescent="0.25">
      <c r="A98" s="145" t="s">
        <v>1179</v>
      </c>
    </row>
    <row r="99" spans="1:1" ht="14.5" x14ac:dyDescent="0.25">
      <c r="A99" s="145" t="s">
        <v>1180</v>
      </c>
    </row>
    <row r="100" spans="1:1" ht="14.5" x14ac:dyDescent="0.25">
      <c r="A100" s="145" t="s">
        <v>1181</v>
      </c>
    </row>
    <row r="101" spans="1:1" ht="14.5" x14ac:dyDescent="0.25">
      <c r="A101" s="145" t="s">
        <v>1182</v>
      </c>
    </row>
    <row r="102" spans="1:1" ht="14.5" x14ac:dyDescent="0.25">
      <c r="A102" s="145" t="s">
        <v>1183</v>
      </c>
    </row>
    <row r="103" spans="1:1" ht="15.5" x14ac:dyDescent="0.35">
      <c r="A103" s="145" t="s">
        <v>1184</v>
      </c>
    </row>
    <row r="104" spans="1:1" ht="15.5" x14ac:dyDescent="0.35">
      <c r="A104" s="145" t="s">
        <v>1185</v>
      </c>
    </row>
    <row r="105" spans="1:1" ht="14.5" x14ac:dyDescent="0.25">
      <c r="A105" s="145" t="s">
        <v>1186</v>
      </c>
    </row>
    <row r="106" spans="1:1" ht="15.5" x14ac:dyDescent="0.35">
      <c r="A106" s="145" t="s">
        <v>1187</v>
      </c>
    </row>
    <row r="107" spans="1:1" ht="14.5" x14ac:dyDescent="0.25">
      <c r="A107" s="145" t="s">
        <v>1188</v>
      </c>
    </row>
    <row r="111" spans="1:1" ht="14.25" customHeight="1" x14ac:dyDescent="0.25"/>
  </sheetData>
  <sheetProtection sheet="1" objects="1" scenarios="1"/>
  <mergeCells count="6">
    <mergeCell ref="A94:F94"/>
    <mergeCell ref="D1:M1"/>
    <mergeCell ref="D2:G2"/>
    <mergeCell ref="H2:K2"/>
    <mergeCell ref="F3:G3"/>
    <mergeCell ref="J3:K3"/>
  </mergeCells>
  <pageMargins left="0.75" right="0.75" top="1" bottom="1" header="0.5" footer="0.5"/>
  <pageSetup scale="86" fitToHeight="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A9109-BC2B-4C40-BD45-A1024C9CD57E}">
  <sheetPr codeName="Sheet5">
    <tabColor theme="8" tint="0.39997558519241921"/>
  </sheetPr>
  <dimension ref="A1:E47"/>
  <sheetViews>
    <sheetView tabSelected="1" topLeftCell="A25" workbookViewId="0">
      <selection activeCell="F37" sqref="F37"/>
    </sheetView>
  </sheetViews>
  <sheetFormatPr defaultRowHeight="12.5" x14ac:dyDescent="0.25"/>
  <cols>
    <col min="1" max="1" width="37.453125" style="109" customWidth="1"/>
    <col min="2" max="3" width="8.7265625" style="109"/>
    <col min="4" max="4" width="9.54296875" style="109" customWidth="1"/>
    <col min="5" max="5" width="9.7265625" style="109" customWidth="1"/>
    <col min="6" max="256" width="8.7265625" style="109"/>
    <col min="257" max="257" width="37.453125" style="109" customWidth="1"/>
    <col min="258" max="259" width="8.7265625" style="109"/>
    <col min="260" max="260" width="9.54296875" style="109" customWidth="1"/>
    <col min="261" max="261" width="9.7265625" style="109" customWidth="1"/>
    <col min="262" max="512" width="8.7265625" style="109"/>
    <col min="513" max="513" width="37.453125" style="109" customWidth="1"/>
    <col min="514" max="515" width="8.7265625" style="109"/>
    <col min="516" max="516" width="9.54296875" style="109" customWidth="1"/>
    <col min="517" max="517" width="9.7265625" style="109" customWidth="1"/>
    <col min="518" max="768" width="8.7265625" style="109"/>
    <col min="769" max="769" width="37.453125" style="109" customWidth="1"/>
    <col min="770" max="771" width="8.7265625" style="109"/>
    <col min="772" max="772" width="9.54296875" style="109" customWidth="1"/>
    <col min="773" max="773" width="9.7265625" style="109" customWidth="1"/>
    <col min="774" max="1024" width="8.7265625" style="109"/>
    <col min="1025" max="1025" width="37.453125" style="109" customWidth="1"/>
    <col min="1026" max="1027" width="8.7265625" style="109"/>
    <col min="1028" max="1028" width="9.54296875" style="109" customWidth="1"/>
    <col min="1029" max="1029" width="9.7265625" style="109" customWidth="1"/>
    <col min="1030" max="1280" width="8.7265625" style="109"/>
    <col min="1281" max="1281" width="37.453125" style="109" customWidth="1"/>
    <col min="1282" max="1283" width="8.7265625" style="109"/>
    <col min="1284" max="1284" width="9.54296875" style="109" customWidth="1"/>
    <col min="1285" max="1285" width="9.7265625" style="109" customWidth="1"/>
    <col min="1286" max="1536" width="8.7265625" style="109"/>
    <col min="1537" max="1537" width="37.453125" style="109" customWidth="1"/>
    <col min="1538" max="1539" width="8.7265625" style="109"/>
    <col min="1540" max="1540" width="9.54296875" style="109" customWidth="1"/>
    <col min="1541" max="1541" width="9.7265625" style="109" customWidth="1"/>
    <col min="1542" max="1792" width="8.7265625" style="109"/>
    <col min="1793" max="1793" width="37.453125" style="109" customWidth="1"/>
    <col min="1794" max="1795" width="8.7265625" style="109"/>
    <col min="1796" max="1796" width="9.54296875" style="109" customWidth="1"/>
    <col min="1797" max="1797" width="9.7265625" style="109" customWidth="1"/>
    <col min="1798" max="2048" width="8.7265625" style="109"/>
    <col min="2049" max="2049" width="37.453125" style="109" customWidth="1"/>
    <col min="2050" max="2051" width="8.7265625" style="109"/>
    <col min="2052" max="2052" width="9.54296875" style="109" customWidth="1"/>
    <col min="2053" max="2053" width="9.7265625" style="109" customWidth="1"/>
    <col min="2054" max="2304" width="8.7265625" style="109"/>
    <col min="2305" max="2305" width="37.453125" style="109" customWidth="1"/>
    <col min="2306" max="2307" width="8.7265625" style="109"/>
    <col min="2308" max="2308" width="9.54296875" style="109" customWidth="1"/>
    <col min="2309" max="2309" width="9.7265625" style="109" customWidth="1"/>
    <col min="2310" max="2560" width="8.7265625" style="109"/>
    <col min="2561" max="2561" width="37.453125" style="109" customWidth="1"/>
    <col min="2562" max="2563" width="8.7265625" style="109"/>
    <col min="2564" max="2564" width="9.54296875" style="109" customWidth="1"/>
    <col min="2565" max="2565" width="9.7265625" style="109" customWidth="1"/>
    <col min="2566" max="2816" width="8.7265625" style="109"/>
    <col min="2817" max="2817" width="37.453125" style="109" customWidth="1"/>
    <col min="2818" max="2819" width="8.7265625" style="109"/>
    <col min="2820" max="2820" width="9.54296875" style="109" customWidth="1"/>
    <col min="2821" max="2821" width="9.7265625" style="109" customWidth="1"/>
    <col min="2822" max="3072" width="8.7265625" style="109"/>
    <col min="3073" max="3073" width="37.453125" style="109" customWidth="1"/>
    <col min="3074" max="3075" width="8.7265625" style="109"/>
    <col min="3076" max="3076" width="9.54296875" style="109" customWidth="1"/>
    <col min="3077" max="3077" width="9.7265625" style="109" customWidth="1"/>
    <col min="3078" max="3328" width="8.7265625" style="109"/>
    <col min="3329" max="3329" width="37.453125" style="109" customWidth="1"/>
    <col min="3330" max="3331" width="8.7265625" style="109"/>
    <col min="3332" max="3332" width="9.54296875" style="109" customWidth="1"/>
    <col min="3333" max="3333" width="9.7265625" style="109" customWidth="1"/>
    <col min="3334" max="3584" width="8.7265625" style="109"/>
    <col min="3585" max="3585" width="37.453125" style="109" customWidth="1"/>
    <col min="3586" max="3587" width="8.7265625" style="109"/>
    <col min="3588" max="3588" width="9.54296875" style="109" customWidth="1"/>
    <col min="3589" max="3589" width="9.7265625" style="109" customWidth="1"/>
    <col min="3590" max="3840" width="8.7265625" style="109"/>
    <col min="3841" max="3841" width="37.453125" style="109" customWidth="1"/>
    <col min="3842" max="3843" width="8.7265625" style="109"/>
    <col min="3844" max="3844" width="9.54296875" style="109" customWidth="1"/>
    <col min="3845" max="3845" width="9.7265625" style="109" customWidth="1"/>
    <col min="3846" max="4096" width="8.7265625" style="109"/>
    <col min="4097" max="4097" width="37.453125" style="109" customWidth="1"/>
    <col min="4098" max="4099" width="8.7265625" style="109"/>
    <col min="4100" max="4100" width="9.54296875" style="109" customWidth="1"/>
    <col min="4101" max="4101" width="9.7265625" style="109" customWidth="1"/>
    <col min="4102" max="4352" width="8.7265625" style="109"/>
    <col min="4353" max="4353" width="37.453125" style="109" customWidth="1"/>
    <col min="4354" max="4355" width="8.7265625" style="109"/>
    <col min="4356" max="4356" width="9.54296875" style="109" customWidth="1"/>
    <col min="4357" max="4357" width="9.7265625" style="109" customWidth="1"/>
    <col min="4358" max="4608" width="8.7265625" style="109"/>
    <col min="4609" max="4609" width="37.453125" style="109" customWidth="1"/>
    <col min="4610" max="4611" width="8.7265625" style="109"/>
    <col min="4612" max="4612" width="9.54296875" style="109" customWidth="1"/>
    <col min="4613" max="4613" width="9.7265625" style="109" customWidth="1"/>
    <col min="4614" max="4864" width="8.7265625" style="109"/>
    <col min="4865" max="4865" width="37.453125" style="109" customWidth="1"/>
    <col min="4866" max="4867" width="8.7265625" style="109"/>
    <col min="4868" max="4868" width="9.54296875" style="109" customWidth="1"/>
    <col min="4869" max="4869" width="9.7265625" style="109" customWidth="1"/>
    <col min="4870" max="5120" width="8.7265625" style="109"/>
    <col min="5121" max="5121" width="37.453125" style="109" customWidth="1"/>
    <col min="5122" max="5123" width="8.7265625" style="109"/>
    <col min="5124" max="5124" width="9.54296875" style="109" customWidth="1"/>
    <col min="5125" max="5125" width="9.7265625" style="109" customWidth="1"/>
    <col min="5126" max="5376" width="8.7265625" style="109"/>
    <col min="5377" max="5377" width="37.453125" style="109" customWidth="1"/>
    <col min="5378" max="5379" width="8.7265625" style="109"/>
    <col min="5380" max="5380" width="9.54296875" style="109" customWidth="1"/>
    <col min="5381" max="5381" width="9.7265625" style="109" customWidth="1"/>
    <col min="5382" max="5632" width="8.7265625" style="109"/>
    <col min="5633" max="5633" width="37.453125" style="109" customWidth="1"/>
    <col min="5634" max="5635" width="8.7265625" style="109"/>
    <col min="5636" max="5636" width="9.54296875" style="109" customWidth="1"/>
    <col min="5637" max="5637" width="9.7265625" style="109" customWidth="1"/>
    <col min="5638" max="5888" width="8.7265625" style="109"/>
    <col min="5889" max="5889" width="37.453125" style="109" customWidth="1"/>
    <col min="5890" max="5891" width="8.7265625" style="109"/>
    <col min="5892" max="5892" width="9.54296875" style="109" customWidth="1"/>
    <col min="5893" max="5893" width="9.7265625" style="109" customWidth="1"/>
    <col min="5894" max="6144" width="8.7265625" style="109"/>
    <col min="6145" max="6145" width="37.453125" style="109" customWidth="1"/>
    <col min="6146" max="6147" width="8.7265625" style="109"/>
    <col min="6148" max="6148" width="9.54296875" style="109" customWidth="1"/>
    <col min="6149" max="6149" width="9.7265625" style="109" customWidth="1"/>
    <col min="6150" max="6400" width="8.7265625" style="109"/>
    <col min="6401" max="6401" width="37.453125" style="109" customWidth="1"/>
    <col min="6402" max="6403" width="8.7265625" style="109"/>
    <col min="6404" max="6404" width="9.54296875" style="109" customWidth="1"/>
    <col min="6405" max="6405" width="9.7265625" style="109" customWidth="1"/>
    <col min="6406" max="6656" width="8.7265625" style="109"/>
    <col min="6657" max="6657" width="37.453125" style="109" customWidth="1"/>
    <col min="6658" max="6659" width="8.7265625" style="109"/>
    <col min="6660" max="6660" width="9.54296875" style="109" customWidth="1"/>
    <col min="6661" max="6661" width="9.7265625" style="109" customWidth="1"/>
    <col min="6662" max="6912" width="8.7265625" style="109"/>
    <col min="6913" max="6913" width="37.453125" style="109" customWidth="1"/>
    <col min="6914" max="6915" width="8.7265625" style="109"/>
    <col min="6916" max="6916" width="9.54296875" style="109" customWidth="1"/>
    <col min="6917" max="6917" width="9.7265625" style="109" customWidth="1"/>
    <col min="6918" max="7168" width="8.7265625" style="109"/>
    <col min="7169" max="7169" width="37.453125" style="109" customWidth="1"/>
    <col min="7170" max="7171" width="8.7265625" style="109"/>
    <col min="7172" max="7172" width="9.54296875" style="109" customWidth="1"/>
    <col min="7173" max="7173" width="9.7265625" style="109" customWidth="1"/>
    <col min="7174" max="7424" width="8.7265625" style="109"/>
    <col min="7425" max="7425" width="37.453125" style="109" customWidth="1"/>
    <col min="7426" max="7427" width="8.7265625" style="109"/>
    <col min="7428" max="7428" width="9.54296875" style="109" customWidth="1"/>
    <col min="7429" max="7429" width="9.7265625" style="109" customWidth="1"/>
    <col min="7430" max="7680" width="8.7265625" style="109"/>
    <col min="7681" max="7681" width="37.453125" style="109" customWidth="1"/>
    <col min="7682" max="7683" width="8.7265625" style="109"/>
    <col min="7684" max="7684" width="9.54296875" style="109" customWidth="1"/>
    <col min="7685" max="7685" width="9.7265625" style="109" customWidth="1"/>
    <col min="7686" max="7936" width="8.7265625" style="109"/>
    <col min="7937" max="7937" width="37.453125" style="109" customWidth="1"/>
    <col min="7938" max="7939" width="8.7265625" style="109"/>
    <col min="7940" max="7940" width="9.54296875" style="109" customWidth="1"/>
    <col min="7941" max="7941" width="9.7265625" style="109" customWidth="1"/>
    <col min="7942" max="8192" width="8.7265625" style="109"/>
    <col min="8193" max="8193" width="37.453125" style="109" customWidth="1"/>
    <col min="8194" max="8195" width="8.7265625" style="109"/>
    <col min="8196" max="8196" width="9.54296875" style="109" customWidth="1"/>
    <col min="8197" max="8197" width="9.7265625" style="109" customWidth="1"/>
    <col min="8198" max="8448" width="8.7265625" style="109"/>
    <col min="8449" max="8449" width="37.453125" style="109" customWidth="1"/>
    <col min="8450" max="8451" width="8.7265625" style="109"/>
    <col min="8452" max="8452" width="9.54296875" style="109" customWidth="1"/>
    <col min="8453" max="8453" width="9.7265625" style="109" customWidth="1"/>
    <col min="8454" max="8704" width="8.7265625" style="109"/>
    <col min="8705" max="8705" width="37.453125" style="109" customWidth="1"/>
    <col min="8706" max="8707" width="8.7265625" style="109"/>
    <col min="8708" max="8708" width="9.54296875" style="109" customWidth="1"/>
    <col min="8709" max="8709" width="9.7265625" style="109" customWidth="1"/>
    <col min="8710" max="8960" width="8.7265625" style="109"/>
    <col min="8961" max="8961" width="37.453125" style="109" customWidth="1"/>
    <col min="8962" max="8963" width="8.7265625" style="109"/>
    <col min="8964" max="8964" width="9.54296875" style="109" customWidth="1"/>
    <col min="8965" max="8965" width="9.7265625" style="109" customWidth="1"/>
    <col min="8966" max="9216" width="8.7265625" style="109"/>
    <col min="9217" max="9217" width="37.453125" style="109" customWidth="1"/>
    <col min="9218" max="9219" width="8.7265625" style="109"/>
    <col min="9220" max="9220" width="9.54296875" style="109" customWidth="1"/>
    <col min="9221" max="9221" width="9.7265625" style="109" customWidth="1"/>
    <col min="9222" max="9472" width="8.7265625" style="109"/>
    <col min="9473" max="9473" width="37.453125" style="109" customWidth="1"/>
    <col min="9474" max="9475" width="8.7265625" style="109"/>
    <col min="9476" max="9476" width="9.54296875" style="109" customWidth="1"/>
    <col min="9477" max="9477" width="9.7265625" style="109" customWidth="1"/>
    <col min="9478" max="9728" width="8.7265625" style="109"/>
    <col min="9729" max="9729" width="37.453125" style="109" customWidth="1"/>
    <col min="9730" max="9731" width="8.7265625" style="109"/>
    <col min="9732" max="9732" width="9.54296875" style="109" customWidth="1"/>
    <col min="9733" max="9733" width="9.7265625" style="109" customWidth="1"/>
    <col min="9734" max="9984" width="8.7265625" style="109"/>
    <col min="9985" max="9985" width="37.453125" style="109" customWidth="1"/>
    <col min="9986" max="9987" width="8.7265625" style="109"/>
    <col min="9988" max="9988" width="9.54296875" style="109" customWidth="1"/>
    <col min="9989" max="9989" width="9.7265625" style="109" customWidth="1"/>
    <col min="9990" max="10240" width="8.7265625" style="109"/>
    <col min="10241" max="10241" width="37.453125" style="109" customWidth="1"/>
    <col min="10242" max="10243" width="8.7265625" style="109"/>
    <col min="10244" max="10244" width="9.54296875" style="109" customWidth="1"/>
    <col min="10245" max="10245" width="9.7265625" style="109" customWidth="1"/>
    <col min="10246" max="10496" width="8.7265625" style="109"/>
    <col min="10497" max="10497" width="37.453125" style="109" customWidth="1"/>
    <col min="10498" max="10499" width="8.7265625" style="109"/>
    <col min="10500" max="10500" width="9.54296875" style="109" customWidth="1"/>
    <col min="10501" max="10501" width="9.7265625" style="109" customWidth="1"/>
    <col min="10502" max="10752" width="8.7265625" style="109"/>
    <col min="10753" max="10753" width="37.453125" style="109" customWidth="1"/>
    <col min="10754" max="10755" width="8.7265625" style="109"/>
    <col min="10756" max="10756" width="9.54296875" style="109" customWidth="1"/>
    <col min="10757" max="10757" width="9.7265625" style="109" customWidth="1"/>
    <col min="10758" max="11008" width="8.7265625" style="109"/>
    <col min="11009" max="11009" width="37.453125" style="109" customWidth="1"/>
    <col min="11010" max="11011" width="8.7265625" style="109"/>
    <col min="11012" max="11012" width="9.54296875" style="109" customWidth="1"/>
    <col min="11013" max="11013" width="9.7265625" style="109" customWidth="1"/>
    <col min="11014" max="11264" width="8.7265625" style="109"/>
    <col min="11265" max="11265" width="37.453125" style="109" customWidth="1"/>
    <col min="11266" max="11267" width="8.7265625" style="109"/>
    <col min="11268" max="11268" width="9.54296875" style="109" customWidth="1"/>
    <col min="11269" max="11269" width="9.7265625" style="109" customWidth="1"/>
    <col min="11270" max="11520" width="8.7265625" style="109"/>
    <col min="11521" max="11521" width="37.453125" style="109" customWidth="1"/>
    <col min="11522" max="11523" width="8.7265625" style="109"/>
    <col min="11524" max="11524" width="9.54296875" style="109" customWidth="1"/>
    <col min="11525" max="11525" width="9.7265625" style="109" customWidth="1"/>
    <col min="11526" max="11776" width="8.7265625" style="109"/>
    <col min="11777" max="11777" width="37.453125" style="109" customWidth="1"/>
    <col min="11778" max="11779" width="8.7265625" style="109"/>
    <col min="11780" max="11780" width="9.54296875" style="109" customWidth="1"/>
    <col min="11781" max="11781" width="9.7265625" style="109" customWidth="1"/>
    <col min="11782" max="12032" width="8.7265625" style="109"/>
    <col min="12033" max="12033" width="37.453125" style="109" customWidth="1"/>
    <col min="12034" max="12035" width="8.7265625" style="109"/>
    <col min="12036" max="12036" width="9.54296875" style="109" customWidth="1"/>
    <col min="12037" max="12037" width="9.7265625" style="109" customWidth="1"/>
    <col min="12038" max="12288" width="8.7265625" style="109"/>
    <col min="12289" max="12289" width="37.453125" style="109" customWidth="1"/>
    <col min="12290" max="12291" width="8.7265625" style="109"/>
    <col min="12292" max="12292" width="9.54296875" style="109" customWidth="1"/>
    <col min="12293" max="12293" width="9.7265625" style="109" customWidth="1"/>
    <col min="12294" max="12544" width="8.7265625" style="109"/>
    <col min="12545" max="12545" width="37.453125" style="109" customWidth="1"/>
    <col min="12546" max="12547" width="8.7265625" style="109"/>
    <col min="12548" max="12548" width="9.54296875" style="109" customWidth="1"/>
    <col min="12549" max="12549" width="9.7265625" style="109" customWidth="1"/>
    <col min="12550" max="12800" width="8.7265625" style="109"/>
    <col min="12801" max="12801" width="37.453125" style="109" customWidth="1"/>
    <col min="12802" max="12803" width="8.7265625" style="109"/>
    <col min="12804" max="12804" width="9.54296875" style="109" customWidth="1"/>
    <col min="12805" max="12805" width="9.7265625" style="109" customWidth="1"/>
    <col min="12806" max="13056" width="8.7265625" style="109"/>
    <col min="13057" max="13057" width="37.453125" style="109" customWidth="1"/>
    <col min="13058" max="13059" width="8.7265625" style="109"/>
    <col min="13060" max="13060" width="9.54296875" style="109" customWidth="1"/>
    <col min="13061" max="13061" width="9.7265625" style="109" customWidth="1"/>
    <col min="13062" max="13312" width="8.7265625" style="109"/>
    <col min="13313" max="13313" width="37.453125" style="109" customWidth="1"/>
    <col min="13314" max="13315" width="8.7265625" style="109"/>
    <col min="13316" max="13316" width="9.54296875" style="109" customWidth="1"/>
    <col min="13317" max="13317" width="9.7265625" style="109" customWidth="1"/>
    <col min="13318" max="13568" width="8.7265625" style="109"/>
    <col min="13569" max="13569" width="37.453125" style="109" customWidth="1"/>
    <col min="13570" max="13571" width="8.7265625" style="109"/>
    <col min="13572" max="13572" width="9.54296875" style="109" customWidth="1"/>
    <col min="13573" max="13573" width="9.7265625" style="109" customWidth="1"/>
    <col min="13574" max="13824" width="8.7265625" style="109"/>
    <col min="13825" max="13825" width="37.453125" style="109" customWidth="1"/>
    <col min="13826" max="13827" width="8.7265625" style="109"/>
    <col min="13828" max="13828" width="9.54296875" style="109" customWidth="1"/>
    <col min="13829" max="13829" width="9.7265625" style="109" customWidth="1"/>
    <col min="13830" max="14080" width="8.7265625" style="109"/>
    <col min="14081" max="14081" width="37.453125" style="109" customWidth="1"/>
    <col min="14082" max="14083" width="8.7265625" style="109"/>
    <col min="14084" max="14084" width="9.54296875" style="109" customWidth="1"/>
    <col min="14085" max="14085" width="9.7265625" style="109" customWidth="1"/>
    <col min="14086" max="14336" width="8.7265625" style="109"/>
    <col min="14337" max="14337" width="37.453125" style="109" customWidth="1"/>
    <col min="14338" max="14339" width="8.7265625" style="109"/>
    <col min="14340" max="14340" width="9.54296875" style="109" customWidth="1"/>
    <col min="14341" max="14341" width="9.7265625" style="109" customWidth="1"/>
    <col min="14342" max="14592" width="8.7265625" style="109"/>
    <col min="14593" max="14593" width="37.453125" style="109" customWidth="1"/>
    <col min="14594" max="14595" width="8.7265625" style="109"/>
    <col min="14596" max="14596" width="9.54296875" style="109" customWidth="1"/>
    <col min="14597" max="14597" width="9.7265625" style="109" customWidth="1"/>
    <col min="14598" max="14848" width="8.7265625" style="109"/>
    <col min="14849" max="14849" width="37.453125" style="109" customWidth="1"/>
    <col min="14850" max="14851" width="8.7265625" style="109"/>
    <col min="14852" max="14852" width="9.54296875" style="109" customWidth="1"/>
    <col min="14853" max="14853" width="9.7265625" style="109" customWidth="1"/>
    <col min="14854" max="15104" width="8.7265625" style="109"/>
    <col min="15105" max="15105" width="37.453125" style="109" customWidth="1"/>
    <col min="15106" max="15107" width="8.7265625" style="109"/>
    <col min="15108" max="15108" width="9.54296875" style="109" customWidth="1"/>
    <col min="15109" max="15109" width="9.7265625" style="109" customWidth="1"/>
    <col min="15110" max="15360" width="8.7265625" style="109"/>
    <col min="15361" max="15361" width="37.453125" style="109" customWidth="1"/>
    <col min="15362" max="15363" width="8.7265625" style="109"/>
    <col min="15364" max="15364" width="9.54296875" style="109" customWidth="1"/>
    <col min="15365" max="15365" width="9.7265625" style="109" customWidth="1"/>
    <col min="15366" max="15616" width="8.7265625" style="109"/>
    <col min="15617" max="15617" width="37.453125" style="109" customWidth="1"/>
    <col min="15618" max="15619" width="8.7265625" style="109"/>
    <col min="15620" max="15620" width="9.54296875" style="109" customWidth="1"/>
    <col min="15621" max="15621" width="9.7265625" style="109" customWidth="1"/>
    <col min="15622" max="15872" width="8.7265625" style="109"/>
    <col min="15873" max="15873" width="37.453125" style="109" customWidth="1"/>
    <col min="15874" max="15875" width="8.7265625" style="109"/>
    <col min="15876" max="15876" width="9.54296875" style="109" customWidth="1"/>
    <col min="15877" max="15877" width="9.7265625" style="109" customWidth="1"/>
    <col min="15878" max="16128" width="8.7265625" style="109"/>
    <col min="16129" max="16129" width="37.453125" style="109" customWidth="1"/>
    <col min="16130" max="16131" width="8.7265625" style="109"/>
    <col min="16132" max="16132" width="9.54296875" style="109" customWidth="1"/>
    <col min="16133" max="16133" width="9.7265625" style="109" customWidth="1"/>
    <col min="16134" max="16384" width="8.7265625" style="109"/>
  </cols>
  <sheetData>
    <row r="1" spans="1:4" x14ac:dyDescent="0.25">
      <c r="A1" s="109" t="s">
        <v>1189</v>
      </c>
    </row>
    <row r="3" spans="1:4" x14ac:dyDescent="0.25">
      <c r="A3" s="113" t="str">
        <f>Start!A14</f>
        <v>Analyzers</v>
      </c>
      <c r="C3" s="114" t="str">
        <f>Start!C14</f>
        <v>BEFORE</v>
      </c>
      <c r="D3" s="114" t="str">
        <f>Start!D14</f>
        <v>AFTER</v>
      </c>
    </row>
    <row r="4" spans="1:4" x14ac:dyDescent="0.25">
      <c r="A4" s="109" t="str">
        <f>Start!A15</f>
        <v xml:space="preserve">   CO</v>
      </c>
      <c r="C4" s="115">
        <f>Start!C15</f>
        <v>0</v>
      </c>
      <c r="D4" s="115">
        <f>Start!D15</f>
        <v>0</v>
      </c>
    </row>
    <row r="5" spans="1:4" x14ac:dyDescent="0.25">
      <c r="A5" s="109" t="str">
        <f>Start!A16</f>
        <v xml:space="preserve">   SO2</v>
      </c>
      <c r="C5" s="115">
        <f>Start!C16</f>
        <v>0</v>
      </c>
      <c r="D5" s="115">
        <f>Start!D16</f>
        <v>0</v>
      </c>
    </row>
    <row r="6" spans="1:4" x14ac:dyDescent="0.25">
      <c r="A6" s="109" t="str">
        <f>Start!A17</f>
        <v xml:space="preserve">   NOX</v>
      </c>
      <c r="C6" s="115">
        <f>Start!C17</f>
        <v>0</v>
      </c>
      <c r="D6" s="115">
        <f>Start!D17</f>
        <v>1</v>
      </c>
    </row>
    <row r="7" spans="1:4" x14ac:dyDescent="0.25">
      <c r="A7" s="109" t="str">
        <f>Start!A18</f>
        <v xml:space="preserve">   HCl</v>
      </c>
      <c r="C7" s="115">
        <f>Start!C18</f>
        <v>0</v>
      </c>
      <c r="D7" s="115">
        <f>Start!D18</f>
        <v>0</v>
      </c>
    </row>
    <row r="8" spans="1:4" x14ac:dyDescent="0.25">
      <c r="A8" s="109" t="str">
        <f>Start!A19</f>
        <v xml:space="preserve">   Mercury (and CO2/O2)</v>
      </c>
      <c r="C8" s="115">
        <f>Start!C19</f>
        <v>0</v>
      </c>
      <c r="D8" s="115">
        <f>Start!D19</f>
        <v>0</v>
      </c>
    </row>
    <row r="9" spans="1:4" x14ac:dyDescent="0.25">
      <c r="A9" s="109" t="str">
        <f>Start!A20</f>
        <v xml:space="preserve">   CO2</v>
      </c>
      <c r="C9" s="115">
        <f>Start!C20</f>
        <v>0</v>
      </c>
      <c r="D9" s="115">
        <f>Start!D20</f>
        <v>0</v>
      </c>
    </row>
    <row r="10" spans="1:4" x14ac:dyDescent="0.25">
      <c r="A10" s="109" t="str">
        <f>Start!A21</f>
        <v xml:space="preserve">   O2</v>
      </c>
      <c r="C10" s="115">
        <f>Start!C21</f>
        <v>0</v>
      </c>
      <c r="D10" s="115">
        <f>Start!D21</f>
        <v>1</v>
      </c>
    </row>
    <row r="11" spans="1:4" x14ac:dyDescent="0.25">
      <c r="A11" s="109" t="str">
        <f>Start!A22</f>
        <v xml:space="preserve">   THC</v>
      </c>
      <c r="C11" s="115">
        <f>Start!C22</f>
        <v>0</v>
      </c>
      <c r="D11" s="115">
        <f>Start!D22</f>
        <v>0</v>
      </c>
    </row>
    <row r="13" spans="1:4" x14ac:dyDescent="0.25">
      <c r="A13" s="113" t="str">
        <f>Start!A24</f>
        <v>Monitors</v>
      </c>
    </row>
    <row r="14" spans="1:4" x14ac:dyDescent="0.25">
      <c r="A14" s="109" t="str">
        <f>Start!A25</f>
        <v xml:space="preserve">   OPACITY</v>
      </c>
      <c r="C14" s="109">
        <f>Start!C25</f>
        <v>0</v>
      </c>
      <c r="D14" s="115">
        <f>Start!D25</f>
        <v>0</v>
      </c>
    </row>
    <row r="15" spans="1:4" x14ac:dyDescent="0.25">
      <c r="A15" s="109" t="str">
        <f>Start!A26</f>
        <v xml:space="preserve">   FLOW</v>
      </c>
      <c r="C15" s="109">
        <f>Start!C26</f>
        <v>0</v>
      </c>
      <c r="D15" s="115">
        <f>Start!D26</f>
        <v>1</v>
      </c>
    </row>
    <row r="16" spans="1:4" x14ac:dyDescent="0.25">
      <c r="A16" s="109" t="str">
        <f>Start!A27</f>
        <v xml:space="preserve">   PM (beta gauge)</v>
      </c>
      <c r="C16" s="109">
        <f>Start!C27</f>
        <v>0</v>
      </c>
      <c r="D16" s="115">
        <f>Start!D27</f>
        <v>0</v>
      </c>
    </row>
    <row r="17" spans="1:5" x14ac:dyDescent="0.25">
      <c r="A17" s="109" t="str">
        <f>Start!A28</f>
        <v xml:space="preserve">   PM (light scattering; insitu)</v>
      </c>
      <c r="C17" s="109">
        <f>Start!C28</f>
        <v>0</v>
      </c>
      <c r="D17" s="115">
        <f>Start!D28</f>
        <v>0</v>
      </c>
    </row>
    <row r="18" spans="1:5" x14ac:dyDescent="0.25">
      <c r="A18" s="109" t="str">
        <f>Start!A29</f>
        <v xml:space="preserve">   PM (light scattering; extractive)</v>
      </c>
      <c r="C18" s="109">
        <f>Start!C29</f>
        <v>0</v>
      </c>
      <c r="D18" s="115">
        <f>Start!D29</f>
        <v>0</v>
      </c>
    </row>
    <row r="20" spans="1:5" x14ac:dyDescent="0.25">
      <c r="A20" s="113" t="str">
        <f>Start!A31</f>
        <v>Bag leak detector</v>
      </c>
    </row>
    <row r="21" spans="1:5" x14ac:dyDescent="0.25">
      <c r="A21" s="109" t="str">
        <f>Start!A32</f>
        <v xml:space="preserve">   Number of fabric filters to be monitored=</v>
      </c>
      <c r="C21" s="109">
        <f>Start!C32</f>
        <v>0</v>
      </c>
      <c r="D21" s="115">
        <f>Start!D32</f>
        <v>0</v>
      </c>
    </row>
    <row r="22" spans="1:5" x14ac:dyDescent="0.25">
      <c r="A22" s="109" t="str">
        <f>Start!A33</f>
        <v xml:space="preserve">   Number of sensors=</v>
      </c>
      <c r="C22" s="109">
        <f>Start!C33</f>
        <v>0</v>
      </c>
      <c r="D22" s="115">
        <f>Start!D33</f>
        <v>0</v>
      </c>
    </row>
    <row r="24" spans="1:5" x14ac:dyDescent="0.25">
      <c r="A24" s="109" t="s">
        <v>1190</v>
      </c>
    </row>
    <row r="26" spans="1:5" x14ac:dyDescent="0.25">
      <c r="A26" s="109" t="str">
        <f>Costs!A163</f>
        <v>First Costs</v>
      </c>
      <c r="B26" s="124" t="str">
        <f>Costs!B163</f>
        <v>Labor</v>
      </c>
      <c r="C26" s="124" t="str">
        <f>Costs!C163</f>
        <v>Test</v>
      </c>
      <c r="D26" s="124" t="str">
        <f>Costs!D163</f>
        <v>ODCs</v>
      </c>
      <c r="E26" s="114" t="str">
        <f>Costs!E163</f>
        <v>Total</v>
      </c>
    </row>
    <row r="27" spans="1:5" x14ac:dyDescent="0.25">
      <c r="A27" s="109" t="str">
        <f>Costs!A164</f>
        <v xml:space="preserve">    Planning</v>
      </c>
      <c r="B27" s="119">
        <f>Costs!B164</f>
        <v>3177.6</v>
      </c>
      <c r="C27" s="119">
        <f>Costs!C164</f>
        <v>0</v>
      </c>
      <c r="D27" s="119">
        <f>Costs!D164</f>
        <v>376</v>
      </c>
      <c r="E27" s="119">
        <f>Costs!E164</f>
        <v>3553.6</v>
      </c>
    </row>
    <row r="28" spans="1:5" x14ac:dyDescent="0.25">
      <c r="A28" s="109" t="str">
        <f>Costs!A165</f>
        <v xml:space="preserve">    Select Equipment</v>
      </c>
      <c r="B28" s="119">
        <f>Costs!B165</f>
        <v>12908.8</v>
      </c>
      <c r="C28" s="119">
        <f>Costs!C165</f>
        <v>0</v>
      </c>
      <c r="D28" s="119">
        <f>Costs!D165</f>
        <v>3080.4180000000001</v>
      </c>
      <c r="E28" s="119">
        <f>Costs!E165</f>
        <v>15989.217999999999</v>
      </c>
    </row>
    <row r="29" spans="1:5" x14ac:dyDescent="0.25">
      <c r="A29" s="109" t="str">
        <f>Costs!A166</f>
        <v xml:space="preserve">    Support Facilities</v>
      </c>
      <c r="B29" s="119">
        <f>Costs!B166</f>
        <v>0</v>
      </c>
      <c r="C29" s="119">
        <f>Costs!C166</f>
        <v>0</v>
      </c>
      <c r="D29" s="119">
        <f>Costs!D166</f>
        <v>22065</v>
      </c>
      <c r="E29" s="119">
        <f>Costs!E166</f>
        <v>22065</v>
      </c>
    </row>
    <row r="30" spans="1:5" x14ac:dyDescent="0.25">
      <c r="A30" s="109" t="str">
        <f>Costs!A167</f>
        <v xml:space="preserve">    Purchase CEMS Hardware</v>
      </c>
      <c r="B30" s="119">
        <f>Costs!B167</f>
        <v>0</v>
      </c>
      <c r="C30" s="119">
        <f>Costs!C167</f>
        <v>0</v>
      </c>
      <c r="D30" s="119">
        <f>Costs!D167</f>
        <v>70278</v>
      </c>
      <c r="E30" s="119">
        <f>Costs!E167</f>
        <v>70278</v>
      </c>
    </row>
    <row r="31" spans="1:5" x14ac:dyDescent="0.25">
      <c r="A31" s="109" t="str">
        <f>Costs!A168</f>
        <v xml:space="preserve">    Install and Check CEMS</v>
      </c>
      <c r="B31" s="119">
        <f>Costs!B168</f>
        <v>6733.4400000000005</v>
      </c>
      <c r="C31" s="119">
        <f>Costs!C168</f>
        <v>0</v>
      </c>
      <c r="D31" s="119">
        <f>Costs!D168</f>
        <v>12281</v>
      </c>
      <c r="E31" s="119">
        <f>Costs!E168</f>
        <v>19014.440000000002</v>
      </c>
    </row>
    <row r="32" spans="1:5" x14ac:dyDescent="0.25">
      <c r="A32" s="109" t="str">
        <f>Costs!A169</f>
        <v xml:space="preserve">    Performance Specification Tests</v>
      </c>
      <c r="B32" s="119">
        <f>Costs!B169</f>
        <v>2264.1600000000003</v>
      </c>
      <c r="C32" s="119">
        <f>Costs!C169</f>
        <v>11095.429999999998</v>
      </c>
      <c r="D32" s="119">
        <f>Costs!D169</f>
        <v>585</v>
      </c>
      <c r="E32" s="119">
        <f>Costs!E169</f>
        <v>13944.589999999998</v>
      </c>
    </row>
    <row r="33" spans="1:5" x14ac:dyDescent="0.25">
      <c r="A33" s="109" t="str">
        <f>Costs!A170</f>
        <v xml:space="preserve">    QA/QC Plan</v>
      </c>
      <c r="B33" s="125">
        <f>Costs!B170</f>
        <v>3095.808</v>
      </c>
      <c r="C33" s="125">
        <f>Costs!C170</f>
        <v>15482.346499999998</v>
      </c>
      <c r="D33" s="125">
        <f>Costs!D170</f>
        <v>721</v>
      </c>
      <c r="E33" s="125">
        <f>Costs!E170</f>
        <v>19299.154499999997</v>
      </c>
    </row>
    <row r="34" spans="1:5" x14ac:dyDescent="0.25">
      <c r="B34" s="119">
        <f>Costs!B171</f>
        <v>28179.808000000001</v>
      </c>
      <c r="C34" s="119">
        <f>Costs!C171</f>
        <v>26577.776499999996</v>
      </c>
      <c r="D34" s="119">
        <f>Costs!D171</f>
        <v>109386.41800000001</v>
      </c>
      <c r="E34" s="119">
        <f>Costs!E171</f>
        <v>164144.0025</v>
      </c>
    </row>
    <row r="36" spans="1:5" x14ac:dyDescent="0.25">
      <c r="A36" s="109" t="str">
        <f>Costs!A173</f>
        <v>Annual Costs</v>
      </c>
    </row>
    <row r="37" spans="1:5" x14ac:dyDescent="0.25">
      <c r="A37" s="109" t="str">
        <f>Costs!A174</f>
        <v xml:space="preserve">    Day-to-Day Activities</v>
      </c>
      <c r="B37" s="119">
        <f>Costs!B174</f>
        <v>7470.7199999999993</v>
      </c>
      <c r="C37" s="119">
        <f>Costs!C174</f>
        <v>0</v>
      </c>
      <c r="D37" s="119">
        <f>Costs!D174</f>
        <v>1500</v>
      </c>
      <c r="E37" s="119">
        <f>Costs!E174</f>
        <v>8970.7199999999993</v>
      </c>
    </row>
    <row r="38" spans="1:5" x14ac:dyDescent="0.25">
      <c r="A38" s="109" t="str">
        <f>Costs!A175</f>
        <v xml:space="preserve">    Annual RATA</v>
      </c>
      <c r="B38" s="119">
        <f>Costs!B175</f>
        <v>946.03948800000001</v>
      </c>
      <c r="C38" s="119">
        <f>Costs!C175</f>
        <v>10688.894259000001</v>
      </c>
      <c r="D38" s="119">
        <f>Costs!D175</f>
        <v>0</v>
      </c>
      <c r="E38" s="119">
        <f>Costs!E175</f>
        <v>11634.933747000001</v>
      </c>
    </row>
    <row r="39" spans="1:5" x14ac:dyDescent="0.25">
      <c r="A39" s="109" t="str">
        <f>Costs!A176</f>
        <v xml:space="preserve">    PM Monitor RCA</v>
      </c>
      <c r="B39" s="119">
        <f>Costs!B176</f>
        <v>0</v>
      </c>
      <c r="C39" s="119">
        <f>Costs!C176</f>
        <v>0</v>
      </c>
      <c r="D39" s="119">
        <f>Costs!D176</f>
        <v>0</v>
      </c>
      <c r="E39" s="119">
        <f>Costs!E176</f>
        <v>0</v>
      </c>
    </row>
    <row r="40" spans="1:5" x14ac:dyDescent="0.25">
      <c r="A40" s="109" t="str">
        <f>Costs!A177</f>
        <v xml:space="preserve">    PM Monitor RRA</v>
      </c>
      <c r="B40" s="119">
        <f>Costs!B177</f>
        <v>0</v>
      </c>
      <c r="C40" s="119">
        <f>Costs!C177</f>
        <v>0</v>
      </c>
      <c r="D40" s="119">
        <f>Costs!D177</f>
        <v>0</v>
      </c>
      <c r="E40" s="119">
        <f>Costs!E177</f>
        <v>0</v>
      </c>
    </row>
    <row r="41" spans="1:5" x14ac:dyDescent="0.25">
      <c r="A41" s="109" t="str">
        <f>Costs!A178</f>
        <v xml:space="preserve">    Cylinder Gas Audits (ACA/SVA for PM)</v>
      </c>
      <c r="B41" s="119">
        <f>Costs!B178</f>
        <v>1422.72</v>
      </c>
      <c r="C41" s="119">
        <f>Costs!C178</f>
        <v>0</v>
      </c>
      <c r="D41" s="119">
        <f>Costs!D178</f>
        <v>1282.5</v>
      </c>
      <c r="E41" s="119">
        <f>Costs!E178</f>
        <v>2705.2200000000003</v>
      </c>
    </row>
    <row r="42" spans="1:5" x14ac:dyDescent="0.25">
      <c r="A42" s="109" t="str">
        <f>Costs!A179</f>
        <v xml:space="preserve">    Recordkeeping and Reporting</v>
      </c>
      <c r="B42" s="119">
        <f>Costs!B179</f>
        <v>7905.6</v>
      </c>
      <c r="C42" s="119">
        <f>Costs!C179</f>
        <v>0</v>
      </c>
      <c r="D42" s="119">
        <f>Costs!D179</f>
        <v>200</v>
      </c>
      <c r="E42" s="119">
        <f>Costs!E179</f>
        <v>8105.6</v>
      </c>
    </row>
    <row r="43" spans="1:5" x14ac:dyDescent="0.25">
      <c r="A43" s="109" t="str">
        <f>Costs!A180</f>
        <v xml:space="preserve">    Annual QA &amp; O&amp;M Review and Update</v>
      </c>
      <c r="B43" s="119">
        <f>Costs!B180</f>
        <v>2949.6</v>
      </c>
      <c r="C43" s="119">
        <f>Costs!C180</f>
        <v>0</v>
      </c>
      <c r="D43" s="119">
        <f>Costs!D180</f>
        <v>2870</v>
      </c>
      <c r="E43" s="119">
        <f>Costs!E180</f>
        <v>5819.6</v>
      </c>
    </row>
    <row r="44" spans="1:5" x14ac:dyDescent="0.25">
      <c r="A44" s="109" t="str">
        <f>Costs!A181</f>
        <v xml:space="preserve">    Capital Recovery</v>
      </c>
      <c r="B44" s="125">
        <f>Costs!B181</f>
        <v>4012.8046592000001</v>
      </c>
      <c r="C44" s="125">
        <f>Costs!C181</f>
        <v>3784.6753735999996</v>
      </c>
      <c r="D44" s="125">
        <f>Costs!D181</f>
        <v>15576.625923200001</v>
      </c>
      <c r="E44" s="125">
        <f>Costs!E181</f>
        <v>23374.105955999999</v>
      </c>
    </row>
    <row r="46" spans="1:5" x14ac:dyDescent="0.25">
      <c r="A46" s="109" t="str">
        <f>Costs!A183</f>
        <v xml:space="preserve">    Total w/o capital recovery</v>
      </c>
      <c r="B46" s="119">
        <f>Costs!B183</f>
        <v>20694.679487999998</v>
      </c>
      <c r="C46" s="119">
        <f>Costs!C183</f>
        <v>10688.894259000001</v>
      </c>
      <c r="D46" s="119">
        <f>Costs!D183</f>
        <v>5852.5</v>
      </c>
      <c r="E46" s="119">
        <f>Costs!E183</f>
        <v>37236.073747000002</v>
      </c>
    </row>
    <row r="47" spans="1:5" x14ac:dyDescent="0.25">
      <c r="A47" s="109" t="str">
        <f>Costs!A184</f>
        <v xml:space="preserve">    Total with capital recovery</v>
      </c>
      <c r="B47" s="119">
        <f>Costs!B184</f>
        <v>24707.484147199997</v>
      </c>
      <c r="C47" s="119">
        <f>Costs!C184</f>
        <v>14473.5696326</v>
      </c>
      <c r="D47" s="119">
        <f>Costs!D184</f>
        <v>21429.125923200001</v>
      </c>
      <c r="E47" s="119">
        <f>Costs!E184</f>
        <v>60610.179703000002</v>
      </c>
    </row>
  </sheetData>
  <sheetProtection sheet="1" objects="1" scenarios="1"/>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4CD47D-76DB-4B77-9DC9-68A2ED371FD2}">
  <sheetPr>
    <pageSetUpPr fitToPage="1"/>
  </sheetPr>
  <dimension ref="A1:I132"/>
  <sheetViews>
    <sheetView view="pageBreakPreview" topLeftCell="A93" zoomScaleNormal="100" zoomScaleSheetLayoutView="100" workbookViewId="0">
      <selection activeCell="E9" sqref="E9"/>
    </sheetView>
  </sheetViews>
  <sheetFormatPr defaultColWidth="9.26953125" defaultRowHeight="12.5" x14ac:dyDescent="0.25"/>
  <cols>
    <col min="1" max="1" width="36.7265625" style="6" customWidth="1"/>
    <col min="2" max="2" width="16.54296875" style="2" customWidth="1"/>
    <col min="3" max="3" width="25.7265625" style="3" customWidth="1"/>
    <col min="4" max="4" width="15" style="4" bestFit="1" customWidth="1"/>
    <col min="5" max="5" width="16" style="5" customWidth="1"/>
    <col min="6" max="6" width="87.54296875" style="6" customWidth="1"/>
    <col min="7" max="7" width="17.54296875" style="6" bestFit="1" customWidth="1"/>
    <col min="8" max="16384" width="9.26953125" style="6"/>
  </cols>
  <sheetData>
    <row r="1" spans="1:7" ht="13" thickBot="1" x14ac:dyDescent="0.3">
      <c r="A1" s="1" t="s">
        <v>1222</v>
      </c>
    </row>
    <row r="2" spans="1:7" ht="13" thickBot="1" x14ac:dyDescent="0.3">
      <c r="A2" s="7" t="s">
        <v>1</v>
      </c>
      <c r="B2" s="8" t="s">
        <v>2</v>
      </c>
      <c r="C2" s="9" t="s">
        <v>3</v>
      </c>
      <c r="D2" s="10" t="s">
        <v>4</v>
      </c>
      <c r="E2" s="9" t="s">
        <v>5</v>
      </c>
      <c r="F2" s="11" t="s">
        <v>6</v>
      </c>
    </row>
    <row r="3" spans="1:7" x14ac:dyDescent="0.25">
      <c r="A3" s="12" t="s">
        <v>7</v>
      </c>
      <c r="B3" s="195" t="s">
        <v>1216</v>
      </c>
      <c r="C3" s="13"/>
      <c r="D3" s="14"/>
      <c r="E3" s="14"/>
      <c r="F3" s="15"/>
    </row>
    <row r="4" spans="1:7" ht="13" thickBot="1" x14ac:dyDescent="0.3">
      <c r="A4" s="16" t="s">
        <v>8</v>
      </c>
      <c r="B4" s="196" t="s">
        <v>1217</v>
      </c>
      <c r="C4" s="17"/>
      <c r="D4" s="18"/>
      <c r="E4" s="18"/>
      <c r="F4" s="19"/>
    </row>
    <row r="5" spans="1:7" ht="13" thickBot="1" x14ac:dyDescent="0.3">
      <c r="A5" s="20" t="s">
        <v>9</v>
      </c>
      <c r="B5" s="21"/>
      <c r="C5" s="22"/>
      <c r="D5" s="23"/>
      <c r="E5" s="24"/>
      <c r="F5" s="25"/>
    </row>
    <row r="6" spans="1:7" ht="15.5" x14ac:dyDescent="0.25">
      <c r="A6" s="12" t="s">
        <v>10</v>
      </c>
      <c r="B6" s="26" t="s">
        <v>11</v>
      </c>
      <c r="C6" s="27"/>
      <c r="D6" s="158">
        <v>195.4</v>
      </c>
      <c r="E6" s="28" t="s">
        <v>12</v>
      </c>
      <c r="F6" s="29" t="s">
        <v>13</v>
      </c>
    </row>
    <row r="7" spans="1:7" x14ac:dyDescent="0.25">
      <c r="A7" s="16" t="s">
        <v>14</v>
      </c>
      <c r="B7" s="30" t="s">
        <v>15</v>
      </c>
      <c r="C7" s="31"/>
      <c r="D7" s="159">
        <v>1100</v>
      </c>
      <c r="E7" s="32" t="s">
        <v>16</v>
      </c>
      <c r="F7" s="192" t="s">
        <v>1214</v>
      </c>
    </row>
    <row r="8" spans="1:7" ht="38" x14ac:dyDescent="0.25">
      <c r="A8" s="16" t="s">
        <v>17</v>
      </c>
      <c r="B8" s="30" t="s">
        <v>1191</v>
      </c>
      <c r="C8" s="31" t="s">
        <v>19</v>
      </c>
      <c r="D8" s="159">
        <f>10610*D6/60*(14.7/14.7*(D7+460)/(68+460))</f>
        <v>102089.09848484848</v>
      </c>
      <c r="E8" s="32" t="s">
        <v>20</v>
      </c>
      <c r="F8" s="33" t="s">
        <v>1207</v>
      </c>
      <c r="G8" s="4"/>
    </row>
    <row r="9" spans="1:7" ht="90.5" x14ac:dyDescent="0.25">
      <c r="A9" s="16" t="s">
        <v>1192</v>
      </c>
      <c r="B9" s="30" t="s">
        <v>18</v>
      </c>
      <c r="C9" s="31" t="s">
        <v>1206</v>
      </c>
      <c r="D9" s="159">
        <f>D8</f>
        <v>102089.09848484848</v>
      </c>
      <c r="E9" s="32" t="s">
        <v>20</v>
      </c>
      <c r="F9" s="33" t="s">
        <v>1193</v>
      </c>
      <c r="G9" s="156"/>
    </row>
    <row r="10" spans="1:7" ht="15.5" x14ac:dyDescent="0.25">
      <c r="A10" s="193" t="s">
        <v>1215</v>
      </c>
      <c r="B10" s="30" t="s">
        <v>21</v>
      </c>
      <c r="C10" s="31"/>
      <c r="D10" s="159">
        <f>0.08*D6*8760/2000</f>
        <v>68.468159999999997</v>
      </c>
      <c r="E10" s="32" t="s">
        <v>22</v>
      </c>
      <c r="F10" s="33" t="s">
        <v>1208</v>
      </c>
    </row>
    <row r="11" spans="1:7" x14ac:dyDescent="0.25">
      <c r="A11" s="16" t="s">
        <v>23</v>
      </c>
      <c r="B11" s="30" t="s">
        <v>24</v>
      </c>
      <c r="C11" s="31"/>
      <c r="D11" s="159">
        <v>8760</v>
      </c>
      <c r="E11" s="32" t="s">
        <v>25</v>
      </c>
      <c r="F11" s="33" t="s">
        <v>1209</v>
      </c>
    </row>
    <row r="12" spans="1:7" ht="100" x14ac:dyDescent="0.25">
      <c r="A12" s="16" t="s">
        <v>26</v>
      </c>
      <c r="B12" s="107" t="s">
        <v>27</v>
      </c>
      <c r="C12" s="31" t="s">
        <v>28</v>
      </c>
      <c r="D12" s="159">
        <v>50</v>
      </c>
      <c r="E12" s="32" t="s">
        <v>29</v>
      </c>
      <c r="F12" s="48" t="s">
        <v>1224</v>
      </c>
    </row>
    <row r="13" spans="1:7" ht="15.5" x14ac:dyDescent="0.25">
      <c r="A13" s="16" t="s">
        <v>30</v>
      </c>
      <c r="B13" s="30" t="s">
        <v>31</v>
      </c>
      <c r="C13" s="31" t="s">
        <v>32</v>
      </c>
      <c r="D13" s="159">
        <f>100%*100%*D11</f>
        <v>8760</v>
      </c>
      <c r="E13" s="32" t="s">
        <v>25</v>
      </c>
      <c r="F13" s="29" t="s">
        <v>33</v>
      </c>
    </row>
    <row r="14" spans="1:7" ht="15.5" x14ac:dyDescent="0.25">
      <c r="A14" s="16" t="s">
        <v>1194</v>
      </c>
      <c r="B14" s="30" t="s">
        <v>1195</v>
      </c>
      <c r="C14" s="31"/>
      <c r="D14" s="159">
        <v>700</v>
      </c>
      <c r="E14" s="32" t="s">
        <v>16</v>
      </c>
      <c r="F14" s="29" t="s">
        <v>1196</v>
      </c>
    </row>
    <row r="15" spans="1:7" ht="31" x14ac:dyDescent="0.25">
      <c r="A15" s="16" t="s">
        <v>34</v>
      </c>
      <c r="B15" s="30" t="s">
        <v>35</v>
      </c>
      <c r="C15" s="31" t="s">
        <v>36</v>
      </c>
      <c r="D15" s="160">
        <f>D10/(D6*D11)*2000</f>
        <v>7.9999999999999988E-2</v>
      </c>
      <c r="E15" s="32" t="s">
        <v>0</v>
      </c>
      <c r="F15" s="29" t="s">
        <v>37</v>
      </c>
    </row>
    <row r="16" spans="1:7" ht="16" thickBot="1" x14ac:dyDescent="0.3">
      <c r="A16" s="34" t="s">
        <v>38</v>
      </c>
      <c r="B16" s="35" t="s">
        <v>39</v>
      </c>
      <c r="C16" s="36" t="s">
        <v>40</v>
      </c>
      <c r="D16" s="161">
        <f>(1-D12/100)*D15</f>
        <v>3.9999999999999994E-2</v>
      </c>
      <c r="E16" s="162" t="s">
        <v>0</v>
      </c>
      <c r="F16" s="29" t="s">
        <v>41</v>
      </c>
    </row>
    <row r="17" spans="1:6" ht="13" thickBot="1" x14ac:dyDescent="0.3">
      <c r="A17" s="20" t="s">
        <v>42</v>
      </c>
      <c r="B17" s="21"/>
      <c r="C17" s="22"/>
      <c r="D17" s="23"/>
      <c r="E17" s="24"/>
      <c r="F17" s="25"/>
    </row>
    <row r="18" spans="1:6" ht="15.5" x14ac:dyDescent="0.25">
      <c r="A18" s="12" t="s">
        <v>43</v>
      </c>
      <c r="B18" s="26" t="s">
        <v>44</v>
      </c>
      <c r="C18" s="37" t="s">
        <v>45</v>
      </c>
      <c r="D18" s="38">
        <f>8000/35.3147*C129/C121</f>
        <v>248.04464904035729</v>
      </c>
      <c r="E18" s="28" t="s">
        <v>46</v>
      </c>
      <c r="F18" s="29" t="s">
        <v>47</v>
      </c>
    </row>
    <row r="19" spans="1:6" ht="15.5" x14ac:dyDescent="0.25">
      <c r="A19" s="39" t="s">
        <v>48</v>
      </c>
      <c r="B19" s="30" t="s">
        <v>49</v>
      </c>
      <c r="C19" s="31" t="s">
        <v>50</v>
      </c>
      <c r="D19" s="163">
        <f>0.5631/'P039'!D23</f>
        <v>7.5019984012789767E-2</v>
      </c>
      <c r="E19" s="32" t="s">
        <v>51</v>
      </c>
      <c r="F19" s="33" t="s">
        <v>52</v>
      </c>
    </row>
    <row r="20" spans="1:6" ht="15.5" x14ac:dyDescent="0.25">
      <c r="A20" s="106" t="s">
        <v>53</v>
      </c>
      <c r="B20" s="35" t="s">
        <v>54</v>
      </c>
      <c r="C20" s="36"/>
      <c r="D20" s="164">
        <v>10.68</v>
      </c>
      <c r="E20" s="162" t="s">
        <v>55</v>
      </c>
      <c r="F20" s="165" t="s">
        <v>1210</v>
      </c>
    </row>
    <row r="21" spans="1:6" s="42" customFormat="1" ht="16" thickBot="1" x14ac:dyDescent="0.3">
      <c r="A21" s="34" t="s">
        <v>56</v>
      </c>
      <c r="B21" s="40" t="s">
        <v>57</v>
      </c>
      <c r="C21" s="41"/>
      <c r="D21" s="166">
        <v>8.5500000000000007E-2</v>
      </c>
      <c r="E21" s="162" t="s">
        <v>58</v>
      </c>
      <c r="F21" s="165" t="s">
        <v>1211</v>
      </c>
    </row>
    <row r="22" spans="1:6" s="42" customFormat="1" ht="13" thickBot="1" x14ac:dyDescent="0.3">
      <c r="A22" s="43" t="s">
        <v>59</v>
      </c>
      <c r="B22" s="44"/>
      <c r="C22" s="45"/>
      <c r="D22" s="23"/>
      <c r="E22" s="24"/>
      <c r="F22" s="25"/>
    </row>
    <row r="23" spans="1:6" s="42" customFormat="1" ht="15.5" x14ac:dyDescent="0.25">
      <c r="A23" s="12" t="s">
        <v>60</v>
      </c>
      <c r="B23" s="46" t="s">
        <v>61</v>
      </c>
      <c r="C23" s="47"/>
      <c r="D23" s="167">
        <f>0.9*8.34</f>
        <v>7.5060000000000002</v>
      </c>
      <c r="E23" s="28" t="s">
        <v>62</v>
      </c>
      <c r="F23" s="48" t="s">
        <v>63</v>
      </c>
    </row>
    <row r="24" spans="1:6" s="42" customFormat="1" ht="15.5" x14ac:dyDescent="0.25">
      <c r="A24" s="49" t="s">
        <v>64</v>
      </c>
      <c r="B24" s="50" t="s">
        <v>65</v>
      </c>
      <c r="C24" s="51"/>
      <c r="D24" s="163">
        <v>17.03</v>
      </c>
      <c r="E24" s="52" t="s">
        <v>66</v>
      </c>
      <c r="F24" s="53" t="s">
        <v>67</v>
      </c>
    </row>
    <row r="25" spans="1:6" s="42" customFormat="1" ht="15.5" x14ac:dyDescent="0.25">
      <c r="A25" s="54" t="s">
        <v>68</v>
      </c>
      <c r="B25" s="50" t="s">
        <v>69</v>
      </c>
      <c r="C25" s="51"/>
      <c r="D25" s="163">
        <v>46.01</v>
      </c>
      <c r="E25" s="52" t="s">
        <v>66</v>
      </c>
      <c r="F25" s="53"/>
    </row>
    <row r="26" spans="1:6" s="42" customFormat="1" ht="28" x14ac:dyDescent="0.25">
      <c r="A26" s="16" t="s">
        <v>70</v>
      </c>
      <c r="B26" s="50" t="s">
        <v>71</v>
      </c>
      <c r="C26" s="51"/>
      <c r="D26" s="55">
        <v>1</v>
      </c>
      <c r="E26" s="32" t="s">
        <v>72</v>
      </c>
      <c r="F26" s="53" t="s">
        <v>67</v>
      </c>
    </row>
    <row r="27" spans="1:6" s="42" customFormat="1" ht="28" x14ac:dyDescent="0.25">
      <c r="A27" s="16" t="s">
        <v>73</v>
      </c>
      <c r="B27" s="50" t="s">
        <v>74</v>
      </c>
      <c r="C27" s="56"/>
      <c r="D27" s="57">
        <v>1.05</v>
      </c>
      <c r="E27" s="32" t="s">
        <v>75</v>
      </c>
      <c r="F27" s="53" t="s">
        <v>76</v>
      </c>
    </row>
    <row r="28" spans="1:6" s="42" customFormat="1" ht="15.5" x14ac:dyDescent="0.25">
      <c r="A28" s="16" t="s">
        <v>77</v>
      </c>
      <c r="B28" s="50" t="s">
        <v>78</v>
      </c>
      <c r="C28" s="51"/>
      <c r="D28" s="55">
        <v>7</v>
      </c>
      <c r="E28" s="32" t="s">
        <v>79</v>
      </c>
      <c r="F28" s="53" t="s">
        <v>80</v>
      </c>
    </row>
    <row r="29" spans="1:6" s="42" customFormat="1" ht="16" thickBot="1" x14ac:dyDescent="0.3">
      <c r="A29" s="58" t="s">
        <v>81</v>
      </c>
      <c r="B29" s="59" t="s">
        <v>82</v>
      </c>
      <c r="C29" s="60"/>
      <c r="D29" s="61">
        <v>9</v>
      </c>
      <c r="E29" s="62" t="s">
        <v>79</v>
      </c>
      <c r="F29" s="63" t="s">
        <v>80</v>
      </c>
    </row>
    <row r="30" spans="1:6" s="42" customFormat="1" ht="13" thickBot="1" x14ac:dyDescent="0.3">
      <c r="A30" s="43" t="s">
        <v>83</v>
      </c>
      <c r="B30" s="44"/>
      <c r="C30" s="45"/>
      <c r="D30" s="23"/>
      <c r="E30" s="24"/>
      <c r="F30" s="25"/>
    </row>
    <row r="31" spans="1:6" s="42" customFormat="1" ht="15.5" x14ac:dyDescent="0.25">
      <c r="A31" s="12" t="s">
        <v>84</v>
      </c>
      <c r="B31" s="46" t="s">
        <v>85</v>
      </c>
      <c r="C31" s="47"/>
      <c r="D31" s="64">
        <v>0</v>
      </c>
      <c r="E31" s="28" t="s">
        <v>86</v>
      </c>
      <c r="F31" s="48" t="s">
        <v>87</v>
      </c>
    </row>
    <row r="32" spans="1:6" s="42" customFormat="1" ht="15.5" x14ac:dyDescent="0.25">
      <c r="A32" s="16" t="s">
        <v>88</v>
      </c>
      <c r="B32" s="50" t="s">
        <v>89</v>
      </c>
      <c r="C32" s="51"/>
      <c r="D32" s="168">
        <v>3.1</v>
      </c>
      <c r="E32" s="32" t="s">
        <v>79</v>
      </c>
      <c r="F32" s="53" t="s">
        <v>80</v>
      </c>
    </row>
    <row r="33" spans="1:9" s="42" customFormat="1" ht="15.5" x14ac:dyDescent="0.25">
      <c r="A33" s="16" t="s">
        <v>90</v>
      </c>
      <c r="B33" s="50" t="s">
        <v>91</v>
      </c>
      <c r="C33" s="51"/>
      <c r="D33" s="55">
        <v>1</v>
      </c>
      <c r="E33" s="32" t="s">
        <v>92</v>
      </c>
      <c r="F33" s="53" t="s">
        <v>87</v>
      </c>
    </row>
    <row r="34" spans="1:9" s="42" customFormat="1" x14ac:dyDescent="0.25">
      <c r="A34" s="16" t="s">
        <v>93</v>
      </c>
      <c r="B34" s="50" t="s">
        <v>94</v>
      </c>
      <c r="C34" s="51"/>
      <c r="D34" s="55">
        <v>2</v>
      </c>
      <c r="E34" s="32" t="s">
        <v>95</v>
      </c>
      <c r="F34" s="53" t="s">
        <v>96</v>
      </c>
    </row>
    <row r="35" spans="1:9" s="42" customFormat="1" ht="15.5" x14ac:dyDescent="0.25">
      <c r="A35" s="16" t="s">
        <v>97</v>
      </c>
      <c r="B35" s="50" t="s">
        <v>98</v>
      </c>
      <c r="C35" s="51"/>
      <c r="D35" s="55">
        <v>3</v>
      </c>
      <c r="E35" s="32" t="s">
        <v>99</v>
      </c>
      <c r="F35" s="53" t="s">
        <v>100</v>
      </c>
    </row>
    <row r="36" spans="1:9" s="42" customFormat="1" ht="15.5" x14ac:dyDescent="0.25">
      <c r="A36" s="16" t="s">
        <v>101</v>
      </c>
      <c r="B36" s="50" t="s">
        <v>102</v>
      </c>
      <c r="C36" s="51"/>
      <c r="D36" s="55">
        <v>1</v>
      </c>
      <c r="E36" s="32" t="s">
        <v>99</v>
      </c>
      <c r="F36" s="53" t="s">
        <v>100</v>
      </c>
    </row>
    <row r="37" spans="1:9" s="42" customFormat="1" ht="25" x14ac:dyDescent="0.25">
      <c r="A37" s="16" t="s">
        <v>103</v>
      </c>
      <c r="B37" s="50" t="s">
        <v>104</v>
      </c>
      <c r="C37" s="51"/>
      <c r="D37" s="55">
        <v>20000</v>
      </c>
      <c r="E37" s="32" t="s">
        <v>105</v>
      </c>
      <c r="F37" s="53" t="s">
        <v>106</v>
      </c>
    </row>
    <row r="38" spans="1:9" s="42" customFormat="1" ht="37.5" x14ac:dyDescent="0.25">
      <c r="A38" s="16" t="s">
        <v>107</v>
      </c>
      <c r="B38" s="50" t="s">
        <v>108</v>
      </c>
      <c r="C38" s="51" t="s">
        <v>109</v>
      </c>
      <c r="D38" s="65">
        <f>(D15-D16)/D15*100</f>
        <v>50</v>
      </c>
      <c r="E38" s="52" t="s">
        <v>29</v>
      </c>
      <c r="F38" s="53" t="s">
        <v>110</v>
      </c>
      <c r="G38" s="66"/>
      <c r="H38" s="66"/>
      <c r="I38" s="66"/>
    </row>
    <row r="39" spans="1:9" s="42" customFormat="1" ht="15.5" x14ac:dyDescent="0.25">
      <c r="A39" s="16" t="s">
        <v>111</v>
      </c>
      <c r="B39" s="50" t="s">
        <v>112</v>
      </c>
      <c r="C39" s="51" t="s">
        <v>113</v>
      </c>
      <c r="D39" s="65">
        <f>D9/(16*60)</f>
        <v>106.34281092171717</v>
      </c>
      <c r="E39" s="52" t="s">
        <v>114</v>
      </c>
      <c r="F39" s="53" t="s">
        <v>115</v>
      </c>
      <c r="G39" s="66"/>
      <c r="H39" s="66"/>
      <c r="I39" s="66"/>
    </row>
    <row r="40" spans="1:9" s="42" customFormat="1" ht="31" x14ac:dyDescent="0.25">
      <c r="A40" s="16" t="s">
        <v>116</v>
      </c>
      <c r="B40" s="50" t="s">
        <v>117</v>
      </c>
      <c r="C40" s="51" t="s">
        <v>118</v>
      </c>
      <c r="D40" s="55">
        <f>D39*1.15</f>
        <v>122.29423255997474</v>
      </c>
      <c r="E40" s="52" t="s">
        <v>114</v>
      </c>
      <c r="F40" s="53" t="s">
        <v>119</v>
      </c>
      <c r="G40" s="66"/>
      <c r="H40" s="66"/>
      <c r="I40" s="66"/>
    </row>
    <row r="41" spans="1:9" s="42" customFormat="1" ht="26.5" x14ac:dyDescent="0.25">
      <c r="A41" s="16" t="s">
        <v>120</v>
      </c>
      <c r="B41" s="50" t="s">
        <v>121</v>
      </c>
      <c r="C41" s="51" t="s">
        <v>122</v>
      </c>
      <c r="D41" s="57">
        <f>15.16-(0.03937*D7)+(0.0000274*D7^2)</f>
        <v>5.0069999999999943</v>
      </c>
      <c r="E41" s="52" t="s">
        <v>16</v>
      </c>
      <c r="F41" s="53" t="s">
        <v>123</v>
      </c>
      <c r="G41" s="66"/>
      <c r="H41" s="66"/>
      <c r="I41" s="66"/>
    </row>
    <row r="42" spans="1:9" s="42" customFormat="1" ht="15.5" x14ac:dyDescent="0.25">
      <c r="A42" s="16" t="s">
        <v>124</v>
      </c>
      <c r="B42" s="50" t="s">
        <v>125</v>
      </c>
      <c r="C42" s="51" t="s">
        <v>126</v>
      </c>
      <c r="D42" s="57">
        <f>1.2835-(0.0567*D34)</f>
        <v>1.1701000000000001</v>
      </c>
      <c r="E42" s="52"/>
      <c r="F42" s="53" t="s">
        <v>127</v>
      </c>
      <c r="G42" s="66"/>
      <c r="H42" s="66"/>
      <c r="I42" s="66"/>
    </row>
    <row r="43" spans="1:9" s="42" customFormat="1" ht="15.5" x14ac:dyDescent="0.25">
      <c r="A43" s="16" t="s">
        <v>128</v>
      </c>
      <c r="B43" s="50" t="s">
        <v>129</v>
      </c>
      <c r="C43" s="51" t="s">
        <v>130</v>
      </c>
      <c r="D43" s="57">
        <f>0.8524+(0.3208*D15)</f>
        <v>0.87806400000000007</v>
      </c>
      <c r="E43" s="52"/>
      <c r="F43" s="53" t="s">
        <v>131</v>
      </c>
      <c r="G43" s="66"/>
      <c r="H43" s="66"/>
      <c r="I43" s="66"/>
    </row>
    <row r="44" spans="1:9" s="42" customFormat="1" ht="15.5" x14ac:dyDescent="0.25">
      <c r="A44" s="16" t="s">
        <v>132</v>
      </c>
      <c r="B44" s="50" t="s">
        <v>133</v>
      </c>
      <c r="C44" s="51" t="s">
        <v>134</v>
      </c>
      <c r="D44" s="57">
        <f>0.2869+1.058*D38/100</f>
        <v>0.81590000000000007</v>
      </c>
      <c r="E44" s="32"/>
      <c r="F44" s="53" t="s">
        <v>135</v>
      </c>
      <c r="G44" s="66"/>
      <c r="H44" s="66"/>
      <c r="I44" s="66"/>
    </row>
    <row r="45" spans="1:9" s="42" customFormat="1" ht="31" x14ac:dyDescent="0.25">
      <c r="A45" s="16" t="s">
        <v>136</v>
      </c>
      <c r="B45" s="50" t="s">
        <v>137</v>
      </c>
      <c r="C45" s="51" t="s">
        <v>138</v>
      </c>
      <c r="D45" s="55">
        <f>2.81*D6*D44*D42*D43*D41/D33</f>
        <v>2304.5946794971992</v>
      </c>
      <c r="E45" s="32" t="s">
        <v>139</v>
      </c>
      <c r="F45" s="53" t="s">
        <v>140</v>
      </c>
      <c r="G45" s="66"/>
      <c r="H45" s="66"/>
      <c r="I45" s="66"/>
    </row>
    <row r="46" spans="1:9" s="42" customFormat="1" ht="15.5" x14ac:dyDescent="0.25">
      <c r="A46" s="16" t="s">
        <v>141</v>
      </c>
      <c r="B46" s="50" t="s">
        <v>142</v>
      </c>
      <c r="C46" s="51" t="s">
        <v>143</v>
      </c>
      <c r="D46" s="55">
        <f>D45/(D47*D39)+1</f>
        <v>4.0959103723438286</v>
      </c>
      <c r="E46" s="32" t="s">
        <v>79</v>
      </c>
      <c r="F46" s="53" t="s">
        <v>144</v>
      </c>
      <c r="G46" s="66"/>
      <c r="H46" s="66"/>
      <c r="I46" s="66"/>
    </row>
    <row r="47" spans="1:9" s="42" customFormat="1" ht="15.5" x14ac:dyDescent="0.25">
      <c r="A47" s="16" t="s">
        <v>145</v>
      </c>
      <c r="B47" s="50" t="s">
        <v>146</v>
      </c>
      <c r="C47" s="51" t="s">
        <v>147</v>
      </c>
      <c r="D47" s="55">
        <f>ROUNDUP(D45/(D32*D39),0)</f>
        <v>7</v>
      </c>
      <c r="E47" s="32" t="s">
        <v>86</v>
      </c>
      <c r="F47" s="53" t="s">
        <v>148</v>
      </c>
    </row>
    <row r="48" spans="1:9" s="42" customFormat="1" ht="15.5" x14ac:dyDescent="0.25">
      <c r="A48" s="16" t="s">
        <v>149</v>
      </c>
      <c r="B48" s="50" t="s">
        <v>150</v>
      </c>
      <c r="C48" s="51" t="s">
        <v>151</v>
      </c>
      <c r="D48" s="55">
        <f>D47+D31</f>
        <v>7</v>
      </c>
      <c r="E48" s="32" t="s">
        <v>86</v>
      </c>
      <c r="F48" s="53" t="s">
        <v>152</v>
      </c>
    </row>
    <row r="49" spans="1:7" s="42" customFormat="1" ht="15.5" x14ac:dyDescent="0.25">
      <c r="A49" s="16" t="s">
        <v>153</v>
      </c>
      <c r="B49" s="50" t="s">
        <v>154</v>
      </c>
      <c r="C49" s="51" t="s">
        <v>155</v>
      </c>
      <c r="D49" s="55">
        <f>D48*(D28+D46)+D29</f>
        <v>86.671372606406806</v>
      </c>
      <c r="E49" s="32" t="s">
        <v>79</v>
      </c>
      <c r="F49" s="53" t="s">
        <v>156</v>
      </c>
    </row>
    <row r="50" spans="1:7" s="42" customFormat="1" ht="31" x14ac:dyDescent="0.25">
      <c r="A50" s="16" t="s">
        <v>157</v>
      </c>
      <c r="B50" s="50" t="s">
        <v>158</v>
      </c>
      <c r="C50" s="51" t="s">
        <v>159</v>
      </c>
      <c r="D50" s="55">
        <f>D15*D6*D38/100*D27*D24/D25</f>
        <v>3.0376397304933715</v>
      </c>
      <c r="E50" s="32" t="s">
        <v>160</v>
      </c>
      <c r="F50" s="53" t="s">
        <v>161</v>
      </c>
    </row>
    <row r="51" spans="1:7" s="42" customFormat="1" ht="16" thickBot="1" x14ac:dyDescent="0.3">
      <c r="A51" s="58" t="s">
        <v>162</v>
      </c>
      <c r="B51" s="59" t="s">
        <v>163</v>
      </c>
      <c r="C51" s="60" t="s">
        <v>164</v>
      </c>
      <c r="D51" s="61">
        <f>D50/0.19</f>
        <v>15.987577528912482</v>
      </c>
      <c r="E51" s="62" t="s">
        <v>160</v>
      </c>
      <c r="F51" s="63" t="s">
        <v>165</v>
      </c>
    </row>
    <row r="52" spans="1:7" s="42" customFormat="1" ht="13" thickBot="1" x14ac:dyDescent="0.3">
      <c r="A52" s="43" t="s">
        <v>166</v>
      </c>
      <c r="B52" s="44"/>
      <c r="C52" s="45"/>
      <c r="D52" s="23"/>
      <c r="E52" s="24"/>
      <c r="F52" s="25"/>
    </row>
    <row r="53" spans="1:7" s="42" customFormat="1" ht="15.5" x14ac:dyDescent="0.25">
      <c r="A53" s="12" t="s">
        <v>167</v>
      </c>
      <c r="B53" s="46" t="s">
        <v>168</v>
      </c>
      <c r="C53" s="47" t="s">
        <v>169</v>
      </c>
      <c r="D53" s="64">
        <f>D45*D18</f>
        <v>571642.3784561574</v>
      </c>
      <c r="E53" s="28" t="s">
        <v>170</v>
      </c>
      <c r="F53" s="48" t="s">
        <v>171</v>
      </c>
    </row>
    <row r="54" spans="1:7" s="42" customFormat="1" ht="28" x14ac:dyDescent="0.25">
      <c r="A54" s="16" t="s">
        <v>172</v>
      </c>
      <c r="B54" s="50" t="s">
        <v>173</v>
      </c>
      <c r="C54" s="51" t="s">
        <v>174</v>
      </c>
      <c r="D54" s="55">
        <f>(411*D50/D6-47.3)*C132/C109</f>
        <v>-74.363987240592607</v>
      </c>
      <c r="E54" s="32" t="s">
        <v>175</v>
      </c>
      <c r="F54" s="53" t="s">
        <v>176</v>
      </c>
    </row>
    <row r="55" spans="1:7" s="42" customFormat="1" ht="28" x14ac:dyDescent="0.25">
      <c r="A55" s="16" t="s">
        <v>177</v>
      </c>
      <c r="B55" s="50" t="s">
        <v>178</v>
      </c>
      <c r="C55" s="51" t="s">
        <v>179</v>
      </c>
      <c r="D55" s="55">
        <f>(6.12*D49-187.9)*C132/C109</f>
        <v>622.61974492594732</v>
      </c>
      <c r="E55" s="32" t="s">
        <v>175</v>
      </c>
      <c r="F55" s="53" t="s">
        <v>180</v>
      </c>
    </row>
    <row r="56" spans="1:7" s="42" customFormat="1" x14ac:dyDescent="0.25">
      <c r="A56" s="16" t="s">
        <v>181</v>
      </c>
      <c r="B56" s="50" t="s">
        <v>182</v>
      </c>
      <c r="C56" s="51" t="s">
        <v>183</v>
      </c>
      <c r="D56" s="55">
        <v>0</v>
      </c>
      <c r="E56" s="32" t="s">
        <v>175</v>
      </c>
      <c r="F56" s="53" t="s">
        <v>184</v>
      </c>
    </row>
    <row r="57" spans="1:7" s="42" customFormat="1" ht="15.5" x14ac:dyDescent="0.25">
      <c r="A57" s="16" t="s">
        <v>185</v>
      </c>
      <c r="B57" s="50" t="s">
        <v>186</v>
      </c>
      <c r="C57" s="68">
        <v>70000</v>
      </c>
      <c r="D57" s="55">
        <f>70000*C132/C120</f>
        <v>94960.720444529608</v>
      </c>
      <c r="E57" s="32" t="s">
        <v>170</v>
      </c>
      <c r="F57" s="53" t="s">
        <v>187</v>
      </c>
    </row>
    <row r="58" spans="1:7" s="42" customFormat="1" ht="28" x14ac:dyDescent="0.25">
      <c r="A58" s="34" t="s">
        <v>188</v>
      </c>
      <c r="B58" s="40" t="s">
        <v>189</v>
      </c>
      <c r="C58" s="108"/>
      <c r="D58" s="170">
        <f>Costs!D79*C132/C118</f>
        <v>221191.38517320139</v>
      </c>
      <c r="E58" s="162" t="s">
        <v>170</v>
      </c>
      <c r="F58" s="172" t="s">
        <v>190</v>
      </c>
    </row>
    <row r="59" spans="1:7" s="42" customFormat="1" ht="78" thickBot="1" x14ac:dyDescent="0.3">
      <c r="A59" s="173" t="s">
        <v>191</v>
      </c>
      <c r="B59" s="59" t="s">
        <v>192</v>
      </c>
      <c r="C59" s="60" t="s">
        <v>1197</v>
      </c>
      <c r="D59" s="174">
        <f>(D6*(3380*C132/C109+D55+D54+D56)*(3500/D6)^0.35+D53+D57+D58)</f>
        <v>4477752.0217053602</v>
      </c>
      <c r="E59" s="175" t="s">
        <v>170</v>
      </c>
      <c r="F59" s="63" t="s">
        <v>193</v>
      </c>
      <c r="G59" s="157"/>
    </row>
    <row r="60" spans="1:7" s="42" customFormat="1" ht="13" thickBot="1" x14ac:dyDescent="0.3">
      <c r="A60" s="43" t="s">
        <v>194</v>
      </c>
      <c r="B60" s="44"/>
      <c r="C60" s="45"/>
      <c r="D60" s="23"/>
      <c r="E60" s="24"/>
      <c r="F60" s="25"/>
    </row>
    <row r="61" spans="1:7" s="42" customFormat="1" ht="15.5" x14ac:dyDescent="0.25">
      <c r="A61" s="69" t="s">
        <v>195</v>
      </c>
      <c r="B61" s="46" t="s">
        <v>196</v>
      </c>
      <c r="C61" s="47" t="s">
        <v>197</v>
      </c>
      <c r="D61" s="70">
        <v>20000</v>
      </c>
      <c r="E61" s="71" t="s">
        <v>170</v>
      </c>
      <c r="F61" s="48" t="s">
        <v>198</v>
      </c>
    </row>
    <row r="62" spans="1:7" s="42" customFormat="1" ht="15.5" x14ac:dyDescent="0.25">
      <c r="A62" s="16" t="s">
        <v>199</v>
      </c>
      <c r="B62" s="50" t="s">
        <v>200</v>
      </c>
      <c r="C62" s="51" t="s">
        <v>201</v>
      </c>
      <c r="D62" s="55">
        <f>0.05*D59</f>
        <v>223887.60108526802</v>
      </c>
      <c r="E62" s="32" t="s">
        <v>170</v>
      </c>
      <c r="F62" s="53" t="s">
        <v>202</v>
      </c>
    </row>
    <row r="63" spans="1:7" s="42" customFormat="1" ht="15.5" x14ac:dyDescent="0.25">
      <c r="A63" s="16" t="s">
        <v>203</v>
      </c>
      <c r="B63" s="50" t="s">
        <v>204</v>
      </c>
      <c r="C63" s="51" t="s">
        <v>205</v>
      </c>
      <c r="D63" s="55">
        <f>0.1*D59</f>
        <v>447775.20217053604</v>
      </c>
      <c r="E63" s="32" t="s">
        <v>170</v>
      </c>
      <c r="F63" s="53" t="s">
        <v>202</v>
      </c>
    </row>
    <row r="64" spans="1:7" s="42" customFormat="1" ht="15.5" x14ac:dyDescent="0.25">
      <c r="A64" s="16" t="s">
        <v>206</v>
      </c>
      <c r="B64" s="50" t="s">
        <v>207</v>
      </c>
      <c r="C64" s="67" t="s">
        <v>201</v>
      </c>
      <c r="D64" s="55">
        <f>0.05*D59</f>
        <v>223887.60108526802</v>
      </c>
      <c r="E64" s="32" t="s">
        <v>170</v>
      </c>
      <c r="F64" s="53" t="s">
        <v>202</v>
      </c>
    </row>
    <row r="65" spans="1:6" s="42" customFormat="1" ht="15.5" x14ac:dyDescent="0.25">
      <c r="A65" s="16" t="s">
        <v>208</v>
      </c>
      <c r="B65" s="50" t="s">
        <v>209</v>
      </c>
      <c r="C65" s="51" t="s">
        <v>210</v>
      </c>
      <c r="D65" s="55">
        <f>SUM(D61:D64)</f>
        <v>915550.40434107208</v>
      </c>
      <c r="E65" s="32" t="s">
        <v>170</v>
      </c>
      <c r="F65" s="53" t="s">
        <v>171</v>
      </c>
    </row>
    <row r="66" spans="1:6" s="42" customFormat="1" ht="13" thickBot="1" x14ac:dyDescent="0.3">
      <c r="A66" s="16" t="s">
        <v>211</v>
      </c>
      <c r="B66" s="50" t="s">
        <v>212</v>
      </c>
      <c r="C66" s="68" t="s">
        <v>213</v>
      </c>
      <c r="D66" s="55">
        <f>0.15*(D59+D65)</f>
        <v>808995.36390696478</v>
      </c>
      <c r="E66" s="52" t="s">
        <v>170</v>
      </c>
      <c r="F66" s="53" t="s">
        <v>214</v>
      </c>
    </row>
    <row r="67" spans="1:6" s="42" customFormat="1" ht="13" thickBot="1" x14ac:dyDescent="0.3">
      <c r="A67" s="43" t="s">
        <v>215</v>
      </c>
      <c r="B67" s="44"/>
      <c r="C67" s="45"/>
      <c r="D67" s="23"/>
      <c r="E67" s="24"/>
      <c r="F67" s="25"/>
    </row>
    <row r="68" spans="1:6" s="42" customFormat="1" x14ac:dyDescent="0.25">
      <c r="A68" s="72" t="s">
        <v>216</v>
      </c>
      <c r="B68" s="73" t="s">
        <v>217</v>
      </c>
      <c r="C68" s="74" t="s">
        <v>218</v>
      </c>
      <c r="D68" s="75">
        <f>D59+D65+D66</f>
        <v>6202297.7899533967</v>
      </c>
      <c r="E68" s="76" t="s">
        <v>170</v>
      </c>
      <c r="F68" s="77" t="s">
        <v>219</v>
      </c>
    </row>
    <row r="69" spans="1:6" s="42" customFormat="1" x14ac:dyDescent="0.25">
      <c r="A69" s="16" t="s">
        <v>220</v>
      </c>
      <c r="B69" s="50" t="s">
        <v>221</v>
      </c>
      <c r="C69" s="51" t="s">
        <v>222</v>
      </c>
      <c r="D69" s="55">
        <f>0.02*D68</f>
        <v>124045.95579906793</v>
      </c>
      <c r="E69" s="52" t="s">
        <v>170</v>
      </c>
      <c r="F69" s="53" t="s">
        <v>202</v>
      </c>
    </row>
    <row r="70" spans="1:6" s="42" customFormat="1" ht="28" x14ac:dyDescent="0.25">
      <c r="A70" s="34" t="s">
        <v>223</v>
      </c>
      <c r="B70" s="40" t="s">
        <v>224</v>
      </c>
      <c r="C70" s="169" t="s">
        <v>225</v>
      </c>
      <c r="D70" s="170">
        <f>D19*D51*14*24</f>
        <v>402.99430436907642</v>
      </c>
      <c r="E70" s="171" t="s">
        <v>170</v>
      </c>
      <c r="F70" s="172" t="s">
        <v>226</v>
      </c>
    </row>
    <row r="71" spans="1:6" s="42" customFormat="1" ht="25.5" thickBot="1" x14ac:dyDescent="0.3">
      <c r="A71" s="173" t="s">
        <v>1212</v>
      </c>
      <c r="B71" s="59"/>
      <c r="C71" s="60" t="s">
        <v>1219</v>
      </c>
      <c r="D71" s="174">
        <f>SUM(D68:D70)*50%</f>
        <v>3163373.3700284171</v>
      </c>
      <c r="E71" s="175"/>
      <c r="F71" s="63" t="s">
        <v>1213</v>
      </c>
    </row>
    <row r="72" spans="1:6" s="42" customFormat="1" ht="13" thickBot="1" x14ac:dyDescent="0.3">
      <c r="A72" s="43" t="s">
        <v>215</v>
      </c>
      <c r="B72" s="78" t="s">
        <v>227</v>
      </c>
      <c r="C72" s="79" t="s">
        <v>228</v>
      </c>
      <c r="D72" s="80">
        <f>SUM(D68:D71)</f>
        <v>9490120.1100852508</v>
      </c>
      <c r="E72" s="81" t="s">
        <v>170</v>
      </c>
      <c r="F72" s="82" t="s">
        <v>202</v>
      </c>
    </row>
    <row r="73" spans="1:6" s="42" customFormat="1" ht="13" thickBot="1" x14ac:dyDescent="0.3">
      <c r="A73" s="43" t="s">
        <v>229</v>
      </c>
      <c r="B73" s="44"/>
      <c r="C73" s="45"/>
      <c r="D73" s="23"/>
      <c r="E73" s="24"/>
      <c r="F73" s="25"/>
    </row>
    <row r="74" spans="1:6" s="42" customFormat="1" ht="13" thickBot="1" x14ac:dyDescent="0.3">
      <c r="A74" s="200" t="s">
        <v>230</v>
      </c>
      <c r="B74" s="201"/>
      <c r="C74" s="201"/>
      <c r="D74" s="201"/>
      <c r="E74" s="201"/>
      <c r="F74" s="202"/>
    </row>
    <row r="75" spans="1:6" s="42" customFormat="1" ht="28" x14ac:dyDescent="0.25">
      <c r="A75" s="12" t="s">
        <v>231</v>
      </c>
      <c r="B75" s="46" t="s">
        <v>232</v>
      </c>
      <c r="C75" s="47" t="s">
        <v>233</v>
      </c>
      <c r="D75" s="64">
        <f>D13/24*0.5*60*C132/C127</f>
        <v>14311.611593132729</v>
      </c>
      <c r="E75" s="28" t="s">
        <v>170</v>
      </c>
      <c r="F75" s="48" t="s">
        <v>234</v>
      </c>
    </row>
    <row r="76" spans="1:6" s="42" customFormat="1" ht="25" x14ac:dyDescent="0.25">
      <c r="A76" s="16" t="s">
        <v>235</v>
      </c>
      <c r="B76" s="50" t="s">
        <v>236</v>
      </c>
      <c r="C76" s="51" t="s">
        <v>237</v>
      </c>
      <c r="D76" s="55">
        <f>0.15*D75</f>
        <v>2146.7417389699094</v>
      </c>
      <c r="E76" s="32" t="s">
        <v>170</v>
      </c>
      <c r="F76" s="33" t="s">
        <v>238</v>
      </c>
    </row>
    <row r="77" spans="1:6" s="42" customFormat="1" ht="15.5" x14ac:dyDescent="0.25">
      <c r="A77" s="49" t="s">
        <v>239</v>
      </c>
      <c r="B77" s="50" t="s">
        <v>240</v>
      </c>
      <c r="C77" s="51" t="s">
        <v>241</v>
      </c>
      <c r="D77" s="182">
        <f>0.005*D72</f>
        <v>47450.600550426258</v>
      </c>
      <c r="E77" s="52" t="s">
        <v>170</v>
      </c>
      <c r="F77" s="53" t="s">
        <v>242</v>
      </c>
    </row>
    <row r="78" spans="1:6" s="42" customFormat="1" ht="15.5" x14ac:dyDescent="0.25">
      <c r="A78" s="49" t="s">
        <v>243</v>
      </c>
      <c r="B78" s="50" t="s">
        <v>244</v>
      </c>
      <c r="C78" s="51" t="s">
        <v>245</v>
      </c>
      <c r="D78" s="182">
        <f>D19*D51*D11</f>
        <v>10506.637221050922</v>
      </c>
      <c r="E78" s="52" t="s">
        <v>170</v>
      </c>
      <c r="F78" s="53" t="s">
        <v>246</v>
      </c>
    </row>
    <row r="79" spans="1:6" s="42" customFormat="1" ht="46.5" x14ac:dyDescent="0.25">
      <c r="A79" s="49" t="s">
        <v>247</v>
      </c>
      <c r="B79" s="50" t="s">
        <v>248</v>
      </c>
      <c r="C79" s="51" t="s">
        <v>249</v>
      </c>
      <c r="D79" s="182">
        <f>0.1*D6*1000*0.0056*(1*1)^0.43*D21*D13</f>
        <v>81956.387520000018</v>
      </c>
      <c r="E79" s="52" t="s">
        <v>170</v>
      </c>
      <c r="F79" s="53" t="s">
        <v>250</v>
      </c>
    </row>
    <row r="80" spans="1:6" s="42" customFormat="1" ht="37.5" x14ac:dyDescent="0.25">
      <c r="A80" s="49" t="s">
        <v>251</v>
      </c>
      <c r="B80" s="50" t="s">
        <v>252</v>
      </c>
      <c r="C80" s="51"/>
      <c r="D80" s="182">
        <f>Costs!D156*115%*C132/C118</f>
        <v>93926.167328097843</v>
      </c>
      <c r="E80" s="52" t="s">
        <v>170</v>
      </c>
      <c r="F80" s="53" t="s">
        <v>253</v>
      </c>
    </row>
    <row r="81" spans="1:6" s="42" customFormat="1" ht="28" x14ac:dyDescent="0.25">
      <c r="A81" s="49" t="s">
        <v>254</v>
      </c>
      <c r="B81" s="50" t="s">
        <v>255</v>
      </c>
      <c r="C81" s="51" t="s">
        <v>256</v>
      </c>
      <c r="D81" s="182">
        <f>D33*D45*D18/D47</f>
        <v>81663.196922308198</v>
      </c>
      <c r="E81" s="52" t="s">
        <v>170</v>
      </c>
      <c r="F81" s="53" t="s">
        <v>257</v>
      </c>
    </row>
    <row r="82" spans="1:6" s="42" customFormat="1" ht="14" x14ac:dyDescent="0.25">
      <c r="A82" s="49" t="s">
        <v>258</v>
      </c>
      <c r="B82" s="50" t="s">
        <v>259</v>
      </c>
      <c r="C82" s="51" t="s">
        <v>260</v>
      </c>
      <c r="D82" s="183">
        <f>D95/100*(1/((1+D95/100)^(D37/D13)-1))</f>
        <v>0.43776827960885012</v>
      </c>
      <c r="E82" s="52"/>
      <c r="F82" s="53" t="s">
        <v>261</v>
      </c>
    </row>
    <row r="83" spans="1:6" s="42" customFormat="1" ht="15.5" x14ac:dyDescent="0.25">
      <c r="A83" s="49" t="s">
        <v>262</v>
      </c>
      <c r="B83" s="50" t="s">
        <v>263</v>
      </c>
      <c r="C83" s="51" t="s">
        <v>264</v>
      </c>
      <c r="D83" s="182">
        <f>D81*D82</f>
        <v>35749.557224037606</v>
      </c>
      <c r="E83" s="52" t="s">
        <v>170</v>
      </c>
      <c r="F83" s="53" t="s">
        <v>265</v>
      </c>
    </row>
    <row r="84" spans="1:6" s="42" customFormat="1" ht="15.5" x14ac:dyDescent="0.25">
      <c r="A84" s="49" t="s">
        <v>266</v>
      </c>
      <c r="B84" s="50" t="s">
        <v>267</v>
      </c>
      <c r="C84" s="51" t="s">
        <v>268</v>
      </c>
      <c r="D84" s="182">
        <f>D88*D20</f>
        <v>0</v>
      </c>
      <c r="E84" s="52"/>
      <c r="F84" s="53"/>
    </row>
    <row r="85" spans="1:6" s="42" customFormat="1" ht="26.5" x14ac:dyDescent="0.25">
      <c r="A85" s="184" t="s">
        <v>269</v>
      </c>
      <c r="B85" s="176" t="s">
        <v>270</v>
      </c>
      <c r="C85" s="177" t="s">
        <v>271</v>
      </c>
      <c r="D85" s="185">
        <f>14.7/(D7+460)/10.731577089016</f>
        <v>8.7807009584095941E-4</v>
      </c>
      <c r="E85" s="186" t="s">
        <v>272</v>
      </c>
      <c r="F85" s="178" t="s">
        <v>273</v>
      </c>
    </row>
    <row r="86" spans="1:6" s="42" customFormat="1" ht="25" x14ac:dyDescent="0.25">
      <c r="A86" s="184" t="s">
        <v>274</v>
      </c>
      <c r="B86" s="176" t="s">
        <v>275</v>
      </c>
      <c r="C86" s="177" t="s">
        <v>276</v>
      </c>
      <c r="D86" s="187">
        <f>FORECAST(D7,'Cp Air'!M6:M34,'Cp Air'!D6:D34)*29</f>
        <v>7.6916454613085117</v>
      </c>
      <c r="E86" s="186" t="s">
        <v>277</v>
      </c>
      <c r="F86" s="178" t="s">
        <v>278</v>
      </c>
    </row>
    <row r="87" spans="1:6" s="42" customFormat="1" ht="31" x14ac:dyDescent="0.25">
      <c r="A87" s="184" t="s">
        <v>279</v>
      </c>
      <c r="B87" s="176" t="s">
        <v>280</v>
      </c>
      <c r="C87" s="177" t="s">
        <v>1198</v>
      </c>
      <c r="D87" s="187">
        <f>(460+68)/(460+D7)*D85*D86*(D14-D7)*120%</f>
        <v>-1.0972333667629928</v>
      </c>
      <c r="E87" s="186" t="s">
        <v>281</v>
      </c>
      <c r="F87" s="178" t="s">
        <v>1199</v>
      </c>
    </row>
    <row r="88" spans="1:6" s="42" customFormat="1" ht="31.5" thickBot="1" x14ac:dyDescent="0.3">
      <c r="A88" s="188" t="s">
        <v>282</v>
      </c>
      <c r="B88" s="179" t="s">
        <v>283</v>
      </c>
      <c r="C88" s="180" t="s">
        <v>1200</v>
      </c>
      <c r="D88" s="189">
        <f>IF(D8*D87/1020000*60*D13&lt;0,0,D8*D87/1020000*60*D13)</f>
        <v>0</v>
      </c>
      <c r="E88" s="190" t="s">
        <v>284</v>
      </c>
      <c r="F88" s="181" t="s">
        <v>285</v>
      </c>
    </row>
    <row r="89" spans="1:6" s="42" customFormat="1" ht="47" thickBot="1" x14ac:dyDescent="0.3">
      <c r="A89" s="83" t="s">
        <v>230</v>
      </c>
      <c r="B89" s="84" t="s">
        <v>286</v>
      </c>
      <c r="C89" s="85" t="s">
        <v>287</v>
      </c>
      <c r="D89" s="86">
        <f>SUM(D83:D84,D75:D81)</f>
        <v>367710.90009802347</v>
      </c>
      <c r="E89" s="87" t="s">
        <v>288</v>
      </c>
      <c r="F89" s="88" t="s">
        <v>289</v>
      </c>
    </row>
    <row r="90" spans="1:6" s="66" customFormat="1" ht="13" thickBot="1" x14ac:dyDescent="0.3">
      <c r="A90" s="200" t="s">
        <v>290</v>
      </c>
      <c r="B90" s="201"/>
      <c r="C90" s="201"/>
      <c r="D90" s="201"/>
      <c r="E90" s="201"/>
      <c r="F90" s="202"/>
    </row>
    <row r="91" spans="1:6" ht="15.5" x14ac:dyDescent="0.25">
      <c r="A91" s="12" t="s">
        <v>291</v>
      </c>
      <c r="B91" s="46" t="s">
        <v>292</v>
      </c>
      <c r="C91" s="47" t="s">
        <v>293</v>
      </c>
      <c r="D91" s="64">
        <f>0.03*D75+0.4*D77</f>
        <v>19409.588567964485</v>
      </c>
      <c r="E91" s="28" t="s">
        <v>288</v>
      </c>
      <c r="F91" s="48" t="s">
        <v>294</v>
      </c>
    </row>
    <row r="92" spans="1:6" s="66" customFormat="1" ht="16" thickBot="1" x14ac:dyDescent="0.3">
      <c r="A92" s="69" t="s">
        <v>295</v>
      </c>
      <c r="B92" s="46" t="s">
        <v>296</v>
      </c>
      <c r="C92" s="47" t="s">
        <v>297</v>
      </c>
      <c r="D92" s="70">
        <f>0.6*SUM(D75:D77)</f>
        <v>38345.37232951734</v>
      </c>
      <c r="E92" s="71" t="s">
        <v>288</v>
      </c>
      <c r="F92" s="48" t="s">
        <v>298</v>
      </c>
    </row>
    <row r="93" spans="1:6" ht="16" thickBot="1" x14ac:dyDescent="0.3">
      <c r="A93" s="83" t="s">
        <v>290</v>
      </c>
      <c r="B93" s="84" t="s">
        <v>299</v>
      </c>
      <c r="C93" s="85" t="s">
        <v>300</v>
      </c>
      <c r="D93" s="86">
        <f>SUM(D91:D92)</f>
        <v>57754.960897481826</v>
      </c>
      <c r="E93" s="87" t="s">
        <v>170</v>
      </c>
      <c r="F93" s="88" t="s">
        <v>301</v>
      </c>
    </row>
    <row r="94" spans="1:6" ht="13" thickBot="1" x14ac:dyDescent="0.3">
      <c r="A94" s="200" t="s">
        <v>302</v>
      </c>
      <c r="B94" s="201"/>
      <c r="C94" s="201"/>
      <c r="D94" s="201"/>
      <c r="E94" s="201"/>
      <c r="F94" s="202"/>
    </row>
    <row r="95" spans="1:6" x14ac:dyDescent="0.25">
      <c r="A95" s="49" t="s">
        <v>303</v>
      </c>
      <c r="B95" s="50" t="s">
        <v>304</v>
      </c>
      <c r="C95" s="51"/>
      <c r="D95" s="198">
        <v>8.2500000000000004E-2</v>
      </c>
      <c r="E95" s="52"/>
      <c r="F95" s="197" t="s">
        <v>1223</v>
      </c>
    </row>
    <row r="96" spans="1:6" x14ac:dyDescent="0.25">
      <c r="A96" s="49" t="s">
        <v>305</v>
      </c>
      <c r="B96" s="50" t="s">
        <v>306</v>
      </c>
      <c r="C96" s="51"/>
      <c r="D96" s="191">
        <v>20</v>
      </c>
      <c r="E96" s="52" t="s">
        <v>307</v>
      </c>
      <c r="F96" s="53" t="s">
        <v>308</v>
      </c>
    </row>
    <row r="97" spans="1:6" ht="14.5" thickBot="1" x14ac:dyDescent="0.3">
      <c r="A97" s="16" t="s">
        <v>309</v>
      </c>
      <c r="B97" s="50" t="s">
        <v>310</v>
      </c>
      <c r="C97" s="51" t="s">
        <v>311</v>
      </c>
      <c r="D97" s="89">
        <f>D95*(1+D95)^D96/((1+D95)^D96-1)</f>
        <v>0.10375437372961858</v>
      </c>
      <c r="E97" s="32"/>
      <c r="F97" s="53" t="s">
        <v>312</v>
      </c>
    </row>
    <row r="98" spans="1:6" ht="16" thickBot="1" x14ac:dyDescent="0.3">
      <c r="A98" s="83" t="s">
        <v>313</v>
      </c>
      <c r="B98" s="84" t="s">
        <v>314</v>
      </c>
      <c r="C98" s="85" t="s">
        <v>315</v>
      </c>
      <c r="D98" s="86">
        <f>D97*D72</f>
        <v>984641.46864075423</v>
      </c>
      <c r="E98" s="87" t="s">
        <v>288</v>
      </c>
      <c r="F98" s="88" t="s">
        <v>316</v>
      </c>
    </row>
    <row r="99" spans="1:6" ht="13" thickBot="1" x14ac:dyDescent="0.3">
      <c r="A99" s="43" t="s">
        <v>229</v>
      </c>
      <c r="B99" s="78" t="s">
        <v>317</v>
      </c>
      <c r="C99" s="79" t="s">
        <v>318</v>
      </c>
      <c r="D99" s="80">
        <f>D89+D93+D98</f>
        <v>1410107.3296362595</v>
      </c>
      <c r="E99" s="81" t="s">
        <v>288</v>
      </c>
      <c r="F99" s="82" t="s">
        <v>319</v>
      </c>
    </row>
    <row r="100" spans="1:6" ht="13" thickBot="1" x14ac:dyDescent="0.3">
      <c r="A100" s="43" t="s">
        <v>320</v>
      </c>
      <c r="B100" s="44"/>
      <c r="C100" s="45"/>
      <c r="D100" s="23"/>
      <c r="E100" s="24"/>
      <c r="F100" s="25"/>
    </row>
    <row r="101" spans="1:6" ht="28" x14ac:dyDescent="0.25">
      <c r="A101" s="72" t="s">
        <v>1201</v>
      </c>
      <c r="B101" s="73" t="s">
        <v>1202</v>
      </c>
      <c r="C101" s="74" t="s">
        <v>1203</v>
      </c>
      <c r="D101" s="75">
        <f>D88/10^3*100/2000</f>
        <v>0</v>
      </c>
      <c r="E101" s="91" t="s">
        <v>324</v>
      </c>
      <c r="F101" s="77" t="s">
        <v>1204</v>
      </c>
    </row>
    <row r="102" spans="1:6" ht="28.5" thickBot="1" x14ac:dyDescent="0.3">
      <c r="A102" s="72" t="s">
        <v>321</v>
      </c>
      <c r="B102" s="73" t="s">
        <v>322</v>
      </c>
      <c r="C102" s="74" t="s">
        <v>323</v>
      </c>
      <c r="D102" s="90">
        <f>(D15)*D38/100*D6*D11/2000</f>
        <v>34.234079999999992</v>
      </c>
      <c r="E102" s="91" t="s">
        <v>324</v>
      </c>
      <c r="F102" s="77" t="s">
        <v>1205</v>
      </c>
    </row>
    <row r="103" spans="1:6" s="92" customFormat="1" ht="16" thickBot="1" x14ac:dyDescent="0.3">
      <c r="A103" s="43" t="s">
        <v>325</v>
      </c>
      <c r="B103" s="78"/>
      <c r="C103" s="79" t="s">
        <v>326</v>
      </c>
      <c r="D103" s="80">
        <f>D99/D102</f>
        <v>41190.162832950671</v>
      </c>
      <c r="E103" s="81" t="s">
        <v>327</v>
      </c>
      <c r="F103" s="82" t="s">
        <v>328</v>
      </c>
    </row>
    <row r="104" spans="1:6" s="97" customFormat="1" ht="10.5" thickBot="1" x14ac:dyDescent="0.25">
      <c r="A104" s="105" t="s">
        <v>329</v>
      </c>
      <c r="B104" s="93"/>
      <c r="C104" s="94"/>
      <c r="D104" s="95"/>
      <c r="E104" s="96"/>
    </row>
    <row r="105" spans="1:6" s="97" customFormat="1" ht="10.5" thickBot="1" x14ac:dyDescent="0.25">
      <c r="B105" s="98" t="s">
        <v>330</v>
      </c>
      <c r="C105" s="99" t="s">
        <v>331</v>
      </c>
      <c r="D105" s="95"/>
      <c r="E105" s="96"/>
    </row>
    <row r="106" spans="1:6" s="97" customFormat="1" ht="10" x14ac:dyDescent="0.2">
      <c r="B106" s="100">
        <v>1995</v>
      </c>
      <c r="C106" s="101">
        <v>381.1</v>
      </c>
      <c r="D106" s="95"/>
      <c r="E106" s="96"/>
    </row>
    <row r="107" spans="1:6" s="97" customFormat="1" ht="10" x14ac:dyDescent="0.2">
      <c r="B107" s="102">
        <v>1996</v>
      </c>
      <c r="C107" s="103">
        <v>381.7</v>
      </c>
      <c r="D107" s="95"/>
      <c r="E107" s="104"/>
    </row>
    <row r="108" spans="1:6" s="97" customFormat="1" ht="10" x14ac:dyDescent="0.2">
      <c r="B108" s="102">
        <v>1997</v>
      </c>
      <c r="C108" s="103">
        <v>386.5</v>
      </c>
      <c r="D108" s="95"/>
      <c r="E108" s="96"/>
    </row>
    <row r="109" spans="1:6" s="97" customFormat="1" ht="10" x14ac:dyDescent="0.2">
      <c r="B109" s="102">
        <v>1998</v>
      </c>
      <c r="C109" s="103">
        <v>389.5</v>
      </c>
      <c r="D109" s="95"/>
      <c r="E109" s="96"/>
    </row>
    <row r="110" spans="1:6" s="97" customFormat="1" ht="10" x14ac:dyDescent="0.2">
      <c r="B110" s="102">
        <v>1999</v>
      </c>
      <c r="C110" s="103">
        <v>391.8</v>
      </c>
      <c r="D110" s="95"/>
      <c r="E110" s="96"/>
    </row>
    <row r="111" spans="1:6" s="97" customFormat="1" ht="10" x14ac:dyDescent="0.2">
      <c r="B111" s="102">
        <v>2000</v>
      </c>
      <c r="C111" s="103">
        <v>394.1</v>
      </c>
      <c r="D111" s="95"/>
      <c r="E111" s="96"/>
    </row>
    <row r="112" spans="1:6" s="97" customFormat="1" ht="10" x14ac:dyDescent="0.2">
      <c r="B112" s="102">
        <v>2001</v>
      </c>
      <c r="C112" s="103">
        <v>394.3</v>
      </c>
      <c r="D112" s="95"/>
      <c r="E112" s="96"/>
    </row>
    <row r="113" spans="2:5" s="97" customFormat="1" ht="10" x14ac:dyDescent="0.2">
      <c r="B113" s="102">
        <v>2002</v>
      </c>
      <c r="C113" s="103">
        <v>395.6</v>
      </c>
      <c r="D113" s="95"/>
      <c r="E113" s="96"/>
    </row>
    <row r="114" spans="2:5" s="97" customFormat="1" ht="10" x14ac:dyDescent="0.2">
      <c r="B114" s="102">
        <v>2003</v>
      </c>
      <c r="C114" s="103">
        <v>402</v>
      </c>
      <c r="D114" s="95"/>
      <c r="E114" s="96"/>
    </row>
    <row r="115" spans="2:5" s="97" customFormat="1" ht="10" x14ac:dyDescent="0.2">
      <c r="B115" s="102">
        <v>2004</v>
      </c>
      <c r="C115" s="103">
        <v>444.2</v>
      </c>
      <c r="D115" s="95"/>
      <c r="E115" s="96"/>
    </row>
    <row r="116" spans="2:5" s="97" customFormat="1" ht="10" x14ac:dyDescent="0.2">
      <c r="B116" s="102">
        <v>2005</v>
      </c>
      <c r="C116" s="103">
        <v>468.2</v>
      </c>
      <c r="D116" s="95"/>
      <c r="E116" s="96"/>
    </row>
    <row r="117" spans="2:5" s="97" customFormat="1" ht="10" x14ac:dyDescent="0.2">
      <c r="B117" s="102">
        <v>2006</v>
      </c>
      <c r="C117" s="103">
        <v>499.6</v>
      </c>
      <c r="D117" s="95"/>
      <c r="E117" s="96"/>
    </row>
    <row r="118" spans="2:5" s="97" customFormat="1" ht="10" x14ac:dyDescent="0.2">
      <c r="B118" s="102">
        <v>2007</v>
      </c>
      <c r="C118" s="103">
        <v>525.4</v>
      </c>
      <c r="D118" s="95"/>
      <c r="E118" s="96"/>
    </row>
    <row r="119" spans="2:5" s="97" customFormat="1" ht="10" x14ac:dyDescent="0.2">
      <c r="B119" s="102">
        <v>2008</v>
      </c>
      <c r="C119" s="103">
        <v>575.4</v>
      </c>
      <c r="D119" s="95"/>
      <c r="E119" s="96"/>
    </row>
    <row r="120" spans="2:5" s="97" customFormat="1" ht="10" x14ac:dyDescent="0.2">
      <c r="B120" s="102">
        <v>2009</v>
      </c>
      <c r="C120" s="103">
        <v>521.9</v>
      </c>
      <c r="D120" s="95"/>
      <c r="E120" s="96"/>
    </row>
    <row r="121" spans="2:5" s="97" customFormat="1" ht="10" x14ac:dyDescent="0.2">
      <c r="B121" s="102">
        <v>2010</v>
      </c>
      <c r="C121" s="103">
        <v>550.79999999999995</v>
      </c>
      <c r="D121" s="95"/>
      <c r="E121" s="96"/>
    </row>
    <row r="122" spans="2:5" s="97" customFormat="1" ht="10" x14ac:dyDescent="0.2">
      <c r="B122" s="102">
        <v>2011</v>
      </c>
      <c r="C122" s="103">
        <v>593.20000000000005</v>
      </c>
      <c r="D122" s="95"/>
      <c r="E122" s="96"/>
    </row>
    <row r="123" spans="2:5" s="97" customFormat="1" ht="10" x14ac:dyDescent="0.2">
      <c r="B123" s="102">
        <v>2012</v>
      </c>
      <c r="C123" s="103">
        <v>584.6</v>
      </c>
      <c r="D123" s="95"/>
      <c r="E123" s="96"/>
    </row>
    <row r="124" spans="2:5" s="97" customFormat="1" ht="10" x14ac:dyDescent="0.2">
      <c r="B124" s="102">
        <v>2013</v>
      </c>
      <c r="C124" s="103">
        <v>567.29999999999995</v>
      </c>
      <c r="D124" s="95"/>
      <c r="E124" s="96"/>
    </row>
    <row r="125" spans="2:5" s="97" customFormat="1" ht="10" x14ac:dyDescent="0.2">
      <c r="B125" s="102">
        <v>2014</v>
      </c>
      <c r="C125" s="103">
        <v>576.1</v>
      </c>
      <c r="D125" s="95"/>
      <c r="E125" s="96"/>
    </row>
    <row r="126" spans="2:5" s="97" customFormat="1" ht="10" x14ac:dyDescent="0.2">
      <c r="B126" s="102">
        <v>2015</v>
      </c>
      <c r="C126" s="103">
        <v>556.79999999999995</v>
      </c>
      <c r="D126" s="95"/>
      <c r="E126" s="96"/>
    </row>
    <row r="127" spans="2:5" s="97" customFormat="1" ht="10" x14ac:dyDescent="0.2">
      <c r="B127" s="102">
        <v>2016</v>
      </c>
      <c r="C127" s="103">
        <v>541.70000000000005</v>
      </c>
      <c r="D127" s="95"/>
      <c r="E127" s="96"/>
    </row>
    <row r="128" spans="2:5" s="97" customFormat="1" ht="10" x14ac:dyDescent="0.2">
      <c r="B128" s="102">
        <v>2017</v>
      </c>
      <c r="C128" s="103">
        <v>567.5</v>
      </c>
      <c r="D128" s="95"/>
      <c r="E128" s="96"/>
    </row>
    <row r="129" spans="2:5" s="97" customFormat="1" ht="10" x14ac:dyDescent="0.2">
      <c r="B129" s="102">
        <v>2018</v>
      </c>
      <c r="C129" s="103">
        <v>603.1</v>
      </c>
      <c r="D129" s="95"/>
      <c r="E129" s="96"/>
    </row>
    <row r="130" spans="2:5" s="97" customFormat="1" ht="10" x14ac:dyDescent="0.2">
      <c r="B130" s="102">
        <v>2019</v>
      </c>
      <c r="C130" s="103">
        <v>607.5</v>
      </c>
      <c r="D130" s="95"/>
      <c r="E130" s="96"/>
    </row>
    <row r="131" spans="2:5" s="97" customFormat="1" ht="10" x14ac:dyDescent="0.2">
      <c r="B131" s="102">
        <v>2020</v>
      </c>
      <c r="C131" s="103">
        <v>596.20000000000005</v>
      </c>
      <c r="D131" s="95"/>
      <c r="E131" s="96"/>
    </row>
    <row r="132" spans="2:5" ht="13" thickBot="1" x14ac:dyDescent="0.3">
      <c r="B132" s="154">
        <v>2021</v>
      </c>
      <c r="C132" s="155">
        <v>708</v>
      </c>
    </row>
  </sheetData>
  <mergeCells count="3">
    <mergeCell ref="A74:F74"/>
    <mergeCell ref="A90:F90"/>
    <mergeCell ref="A94:F94"/>
  </mergeCells>
  <hyperlinks>
    <hyperlink ref="F20" r:id="rId1" xr:uid="{9933BBBB-B0C9-49C3-809A-2CE03B268E51}"/>
    <hyperlink ref="F21" r:id="rId2" xr:uid="{AA540CF6-FB85-4E2A-9104-CAB6BE86B44B}"/>
    <hyperlink ref="F95" r:id="rId3" xr:uid="{714F1644-3300-4961-9978-1973B94BB9CB}"/>
  </hyperlinks>
  <printOptions horizontalCentered="1"/>
  <pageMargins left="0.7" right="0.7" top="0.75" bottom="0.75" header="0.3" footer="0.3"/>
  <pageSetup paperSize="3" scale="61" fitToHeight="3" orientation="landscape" horizontalDpi="1200" verticalDpi="1200" r:id="rId4"/>
  <headerFooter>
    <oddHeader>&amp;C&amp;"Tahoma,Bold"SCR Cost Analysis</oddHeader>
  </headerFooter>
  <rowBreaks count="3" manualBreakCount="3">
    <brk id="29" max="16383" man="1"/>
    <brk id="59" max="16383" man="1"/>
    <brk id="9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A28FA-81CD-4E9C-B4A8-62BEA6A1E3A8}">
  <sheetPr>
    <pageSetUpPr fitToPage="1"/>
  </sheetPr>
  <dimension ref="A1:I132"/>
  <sheetViews>
    <sheetView view="pageBreakPreview" zoomScaleNormal="100" zoomScaleSheetLayoutView="100" workbookViewId="0">
      <selection activeCell="C12" sqref="C12"/>
    </sheetView>
  </sheetViews>
  <sheetFormatPr defaultColWidth="9.26953125" defaultRowHeight="12.5" x14ac:dyDescent="0.25"/>
  <cols>
    <col min="1" max="1" width="36.7265625" style="6" customWidth="1"/>
    <col min="2" max="2" width="16.54296875" style="2" customWidth="1"/>
    <col min="3" max="3" width="25.7265625" style="3" customWidth="1"/>
    <col min="4" max="4" width="15" style="4" bestFit="1" customWidth="1"/>
    <col min="5" max="5" width="16" style="5" customWidth="1"/>
    <col min="6" max="6" width="87.54296875" style="6" customWidth="1"/>
    <col min="7" max="7" width="17.54296875" style="6" bestFit="1" customWidth="1"/>
    <col min="8" max="16384" width="9.26953125" style="6"/>
  </cols>
  <sheetData>
    <row r="1" spans="1:7" ht="13" thickBot="1" x14ac:dyDescent="0.3">
      <c r="A1" s="1" t="s">
        <v>1221</v>
      </c>
    </row>
    <row r="2" spans="1:7" ht="13" thickBot="1" x14ac:dyDescent="0.3">
      <c r="A2" s="7" t="s">
        <v>1</v>
      </c>
      <c r="B2" s="8" t="s">
        <v>2</v>
      </c>
      <c r="C2" s="9" t="s">
        <v>3</v>
      </c>
      <c r="D2" s="10" t="s">
        <v>4</v>
      </c>
      <c r="E2" s="9" t="s">
        <v>5</v>
      </c>
      <c r="F2" s="11" t="s">
        <v>6</v>
      </c>
    </row>
    <row r="3" spans="1:7" x14ac:dyDescent="0.25">
      <c r="A3" s="12" t="s">
        <v>7</v>
      </c>
      <c r="B3" s="195" t="s">
        <v>1216</v>
      </c>
      <c r="C3" s="13"/>
      <c r="D3" s="14"/>
      <c r="E3" s="14"/>
      <c r="F3" s="15"/>
    </row>
    <row r="4" spans="1:7" ht="13" thickBot="1" x14ac:dyDescent="0.3">
      <c r="A4" s="16" t="s">
        <v>8</v>
      </c>
      <c r="B4" s="196" t="s">
        <v>1218</v>
      </c>
      <c r="C4" s="17"/>
      <c r="D4" s="18"/>
      <c r="E4" s="18"/>
      <c r="F4" s="19"/>
    </row>
    <row r="5" spans="1:7" ht="13" thickBot="1" x14ac:dyDescent="0.3">
      <c r="A5" s="20" t="s">
        <v>9</v>
      </c>
      <c r="B5" s="21"/>
      <c r="C5" s="22"/>
      <c r="D5" s="23"/>
      <c r="E5" s="24"/>
      <c r="F5" s="25"/>
    </row>
    <row r="6" spans="1:7" ht="15.5" x14ac:dyDescent="0.25">
      <c r="A6" s="12" t="s">
        <v>10</v>
      </c>
      <c r="B6" s="26" t="s">
        <v>11</v>
      </c>
      <c r="C6" s="27"/>
      <c r="D6" s="158">
        <v>50.9</v>
      </c>
      <c r="E6" s="28" t="s">
        <v>12</v>
      </c>
      <c r="F6" s="29" t="s">
        <v>13</v>
      </c>
    </row>
    <row r="7" spans="1:7" x14ac:dyDescent="0.25">
      <c r="A7" s="16" t="s">
        <v>14</v>
      </c>
      <c r="B7" s="30" t="s">
        <v>15</v>
      </c>
      <c r="C7" s="31"/>
      <c r="D7" s="159">
        <v>600</v>
      </c>
      <c r="E7" s="32" t="s">
        <v>16</v>
      </c>
      <c r="F7" s="192" t="s">
        <v>1214</v>
      </c>
    </row>
    <row r="8" spans="1:7" ht="38" x14ac:dyDescent="0.25">
      <c r="A8" s="16" t="s">
        <v>17</v>
      </c>
      <c r="B8" s="30" t="s">
        <v>1191</v>
      </c>
      <c r="C8" s="31" t="s">
        <v>19</v>
      </c>
      <c r="D8" s="159">
        <f>10610*D6/60*(14.7/14.7*(D7+460)/(68+460))</f>
        <v>18069.821338383841</v>
      </c>
      <c r="E8" s="32" t="s">
        <v>20</v>
      </c>
      <c r="F8" s="33" t="s">
        <v>1207</v>
      </c>
      <c r="G8" s="4"/>
    </row>
    <row r="9" spans="1:7" ht="90.5" x14ac:dyDescent="0.25">
      <c r="A9" s="16" t="s">
        <v>1192</v>
      </c>
      <c r="B9" s="30" t="s">
        <v>18</v>
      </c>
      <c r="C9" s="31" t="s">
        <v>1206</v>
      </c>
      <c r="D9" s="194">
        <f>(D8+D88*10822/(D13*60))*(14.7/14.7*(D14+460)/(D7+460))</f>
        <v>19898.913931592604</v>
      </c>
      <c r="E9" s="32" t="s">
        <v>20</v>
      </c>
      <c r="F9" s="33" t="s">
        <v>1193</v>
      </c>
      <c r="G9" s="156"/>
    </row>
    <row r="10" spans="1:7" ht="15.5" x14ac:dyDescent="0.25">
      <c r="A10" s="193" t="s">
        <v>1215</v>
      </c>
      <c r="B10" s="30" t="s">
        <v>21</v>
      </c>
      <c r="C10" s="31"/>
      <c r="D10" s="159">
        <f>0.15*D6*8760/2000</f>
        <v>33.441299999999998</v>
      </c>
      <c r="E10" s="32" t="s">
        <v>22</v>
      </c>
      <c r="F10" s="33" t="s">
        <v>1208</v>
      </c>
    </row>
    <row r="11" spans="1:7" x14ac:dyDescent="0.25">
      <c r="A11" s="16" t="s">
        <v>23</v>
      </c>
      <c r="B11" s="30" t="s">
        <v>24</v>
      </c>
      <c r="C11" s="31"/>
      <c r="D11" s="159">
        <v>8760</v>
      </c>
      <c r="E11" s="32" t="s">
        <v>25</v>
      </c>
      <c r="F11" s="33" t="s">
        <v>1209</v>
      </c>
    </row>
    <row r="12" spans="1:7" ht="100" x14ac:dyDescent="0.25">
      <c r="A12" s="16" t="s">
        <v>26</v>
      </c>
      <c r="B12" s="107" t="s">
        <v>27</v>
      </c>
      <c r="C12" s="31" t="s">
        <v>28</v>
      </c>
      <c r="D12" s="159">
        <v>50</v>
      </c>
      <c r="E12" s="32" t="s">
        <v>29</v>
      </c>
      <c r="F12" s="48" t="s">
        <v>1224</v>
      </c>
    </row>
    <row r="13" spans="1:7" ht="15.5" x14ac:dyDescent="0.25">
      <c r="A13" s="16" t="s">
        <v>30</v>
      </c>
      <c r="B13" s="30" t="s">
        <v>31</v>
      </c>
      <c r="C13" s="31" t="s">
        <v>32</v>
      </c>
      <c r="D13" s="159">
        <f>100%*100%*D11</f>
        <v>8760</v>
      </c>
      <c r="E13" s="32" t="s">
        <v>25</v>
      </c>
      <c r="F13" s="29" t="s">
        <v>33</v>
      </c>
    </row>
    <row r="14" spans="1:7" ht="15.5" x14ac:dyDescent="0.25">
      <c r="A14" s="16" t="s">
        <v>1194</v>
      </c>
      <c r="B14" s="30" t="s">
        <v>1195</v>
      </c>
      <c r="C14" s="31"/>
      <c r="D14" s="159">
        <v>700</v>
      </c>
      <c r="E14" s="32" t="s">
        <v>16</v>
      </c>
      <c r="F14" s="29" t="s">
        <v>1196</v>
      </c>
    </row>
    <row r="15" spans="1:7" ht="31" x14ac:dyDescent="0.25">
      <c r="A15" s="16" t="s">
        <v>34</v>
      </c>
      <c r="B15" s="30" t="s">
        <v>35</v>
      </c>
      <c r="C15" s="31" t="s">
        <v>36</v>
      </c>
      <c r="D15" s="160">
        <f>D10/(D6*D11)*2000</f>
        <v>0.15</v>
      </c>
      <c r="E15" s="32" t="s">
        <v>0</v>
      </c>
      <c r="F15" s="29" t="s">
        <v>37</v>
      </c>
    </row>
    <row r="16" spans="1:7" ht="16" thickBot="1" x14ac:dyDescent="0.3">
      <c r="A16" s="34" t="s">
        <v>38</v>
      </c>
      <c r="B16" s="35" t="s">
        <v>39</v>
      </c>
      <c r="C16" s="36" t="s">
        <v>40</v>
      </c>
      <c r="D16" s="161">
        <f>(1-D12/100)*D15</f>
        <v>7.4999999999999997E-2</v>
      </c>
      <c r="E16" s="162" t="s">
        <v>0</v>
      </c>
      <c r="F16" s="29" t="s">
        <v>41</v>
      </c>
    </row>
    <row r="17" spans="1:6" ht="13" thickBot="1" x14ac:dyDescent="0.3">
      <c r="A17" s="20" t="s">
        <v>42</v>
      </c>
      <c r="B17" s="21"/>
      <c r="C17" s="22"/>
      <c r="D17" s="23"/>
      <c r="E17" s="24"/>
      <c r="F17" s="25"/>
    </row>
    <row r="18" spans="1:6" ht="15.5" x14ac:dyDescent="0.25">
      <c r="A18" s="12" t="s">
        <v>43</v>
      </c>
      <c r="B18" s="26" t="s">
        <v>44</v>
      </c>
      <c r="C18" s="37" t="s">
        <v>45</v>
      </c>
      <c r="D18" s="38">
        <f>8000/35.3147*C129/C121</f>
        <v>248.04464904035729</v>
      </c>
      <c r="E18" s="28" t="s">
        <v>46</v>
      </c>
      <c r="F18" s="29" t="s">
        <v>47</v>
      </c>
    </row>
    <row r="19" spans="1:6" ht="15.5" x14ac:dyDescent="0.25">
      <c r="A19" s="39" t="s">
        <v>48</v>
      </c>
      <c r="B19" s="30" t="s">
        <v>49</v>
      </c>
      <c r="C19" s="31" t="s">
        <v>50</v>
      </c>
      <c r="D19" s="163">
        <f>0.5631/'P040'!D23</f>
        <v>7.5019984012789767E-2</v>
      </c>
      <c r="E19" s="32" t="s">
        <v>51</v>
      </c>
      <c r="F19" s="33" t="s">
        <v>52</v>
      </c>
    </row>
    <row r="20" spans="1:6" ht="15.5" x14ac:dyDescent="0.25">
      <c r="A20" s="106" t="s">
        <v>53</v>
      </c>
      <c r="B20" s="35" t="s">
        <v>54</v>
      </c>
      <c r="C20" s="36"/>
      <c r="D20" s="164">
        <v>10.68</v>
      </c>
      <c r="E20" s="162" t="s">
        <v>55</v>
      </c>
      <c r="F20" s="165" t="s">
        <v>1210</v>
      </c>
    </row>
    <row r="21" spans="1:6" s="42" customFormat="1" ht="16" thickBot="1" x14ac:dyDescent="0.3">
      <c r="A21" s="34" t="s">
        <v>56</v>
      </c>
      <c r="B21" s="40" t="s">
        <v>57</v>
      </c>
      <c r="C21" s="41"/>
      <c r="D21" s="166">
        <v>8.5500000000000007E-2</v>
      </c>
      <c r="E21" s="162" t="s">
        <v>58</v>
      </c>
      <c r="F21" s="165" t="s">
        <v>1211</v>
      </c>
    </row>
    <row r="22" spans="1:6" s="42" customFormat="1" ht="13" thickBot="1" x14ac:dyDescent="0.3">
      <c r="A22" s="43" t="s">
        <v>59</v>
      </c>
      <c r="B22" s="44"/>
      <c r="C22" s="45"/>
      <c r="D22" s="23"/>
      <c r="E22" s="24"/>
      <c r="F22" s="25"/>
    </row>
    <row r="23" spans="1:6" s="42" customFormat="1" ht="15.5" x14ac:dyDescent="0.25">
      <c r="A23" s="12" t="s">
        <v>60</v>
      </c>
      <c r="B23" s="46" t="s">
        <v>61</v>
      </c>
      <c r="C23" s="47"/>
      <c r="D23" s="167">
        <f>0.9*8.34</f>
        <v>7.5060000000000002</v>
      </c>
      <c r="E23" s="28" t="s">
        <v>62</v>
      </c>
      <c r="F23" s="48" t="s">
        <v>63</v>
      </c>
    </row>
    <row r="24" spans="1:6" s="42" customFormat="1" ht="15.5" x14ac:dyDescent="0.25">
      <c r="A24" s="49" t="s">
        <v>64</v>
      </c>
      <c r="B24" s="50" t="s">
        <v>65</v>
      </c>
      <c r="C24" s="51"/>
      <c r="D24" s="163">
        <v>17.03</v>
      </c>
      <c r="E24" s="52" t="s">
        <v>66</v>
      </c>
      <c r="F24" s="53" t="s">
        <v>67</v>
      </c>
    </row>
    <row r="25" spans="1:6" s="42" customFormat="1" ht="15.5" x14ac:dyDescent="0.25">
      <c r="A25" s="54" t="s">
        <v>68</v>
      </c>
      <c r="B25" s="50" t="s">
        <v>69</v>
      </c>
      <c r="C25" s="51"/>
      <c r="D25" s="163">
        <v>46.01</v>
      </c>
      <c r="E25" s="52" t="s">
        <v>66</v>
      </c>
      <c r="F25" s="53"/>
    </row>
    <row r="26" spans="1:6" s="42" customFormat="1" ht="28" x14ac:dyDescent="0.25">
      <c r="A26" s="16" t="s">
        <v>70</v>
      </c>
      <c r="B26" s="50" t="s">
        <v>71</v>
      </c>
      <c r="C26" s="51"/>
      <c r="D26" s="55">
        <v>1</v>
      </c>
      <c r="E26" s="32" t="s">
        <v>72</v>
      </c>
      <c r="F26" s="53" t="s">
        <v>67</v>
      </c>
    </row>
    <row r="27" spans="1:6" s="42" customFormat="1" ht="28" x14ac:dyDescent="0.25">
      <c r="A27" s="16" t="s">
        <v>73</v>
      </c>
      <c r="B27" s="50" t="s">
        <v>74</v>
      </c>
      <c r="C27" s="56"/>
      <c r="D27" s="57">
        <v>1.05</v>
      </c>
      <c r="E27" s="32" t="s">
        <v>75</v>
      </c>
      <c r="F27" s="53" t="s">
        <v>76</v>
      </c>
    </row>
    <row r="28" spans="1:6" s="42" customFormat="1" ht="15.5" x14ac:dyDescent="0.25">
      <c r="A28" s="16" t="s">
        <v>77</v>
      </c>
      <c r="B28" s="50" t="s">
        <v>78</v>
      </c>
      <c r="C28" s="51"/>
      <c r="D28" s="55">
        <v>7</v>
      </c>
      <c r="E28" s="32" t="s">
        <v>79</v>
      </c>
      <c r="F28" s="53" t="s">
        <v>80</v>
      </c>
    </row>
    <row r="29" spans="1:6" s="42" customFormat="1" ht="16" thickBot="1" x14ac:dyDescent="0.3">
      <c r="A29" s="58" t="s">
        <v>81</v>
      </c>
      <c r="B29" s="59" t="s">
        <v>82</v>
      </c>
      <c r="C29" s="60"/>
      <c r="D29" s="61">
        <v>9</v>
      </c>
      <c r="E29" s="62" t="s">
        <v>79</v>
      </c>
      <c r="F29" s="63" t="s">
        <v>80</v>
      </c>
    </row>
    <row r="30" spans="1:6" s="42" customFormat="1" ht="13" thickBot="1" x14ac:dyDescent="0.3">
      <c r="A30" s="43" t="s">
        <v>83</v>
      </c>
      <c r="B30" s="44"/>
      <c r="C30" s="45"/>
      <c r="D30" s="23"/>
      <c r="E30" s="24"/>
      <c r="F30" s="25"/>
    </row>
    <row r="31" spans="1:6" s="42" customFormat="1" ht="15.5" x14ac:dyDescent="0.25">
      <c r="A31" s="12" t="s">
        <v>84</v>
      </c>
      <c r="B31" s="46" t="s">
        <v>85</v>
      </c>
      <c r="C31" s="47"/>
      <c r="D31" s="64">
        <v>0</v>
      </c>
      <c r="E31" s="28" t="s">
        <v>86</v>
      </c>
      <c r="F31" s="48" t="s">
        <v>87</v>
      </c>
    </row>
    <row r="32" spans="1:6" s="42" customFormat="1" ht="15.5" x14ac:dyDescent="0.25">
      <c r="A32" s="16" t="s">
        <v>88</v>
      </c>
      <c r="B32" s="50" t="s">
        <v>89</v>
      </c>
      <c r="C32" s="51"/>
      <c r="D32" s="168">
        <v>3.1</v>
      </c>
      <c r="E32" s="32" t="s">
        <v>79</v>
      </c>
      <c r="F32" s="53" t="s">
        <v>80</v>
      </c>
    </row>
    <row r="33" spans="1:9" s="42" customFormat="1" ht="15.5" x14ac:dyDescent="0.25">
      <c r="A33" s="16" t="s">
        <v>90</v>
      </c>
      <c r="B33" s="50" t="s">
        <v>91</v>
      </c>
      <c r="C33" s="51"/>
      <c r="D33" s="55">
        <v>1</v>
      </c>
      <c r="E33" s="32" t="s">
        <v>92</v>
      </c>
      <c r="F33" s="53" t="s">
        <v>87</v>
      </c>
    </row>
    <row r="34" spans="1:9" s="42" customFormat="1" x14ac:dyDescent="0.25">
      <c r="A34" s="16" t="s">
        <v>93</v>
      </c>
      <c r="B34" s="50" t="s">
        <v>94</v>
      </c>
      <c r="C34" s="51"/>
      <c r="D34" s="55">
        <v>2</v>
      </c>
      <c r="E34" s="32" t="s">
        <v>95</v>
      </c>
      <c r="F34" s="53" t="s">
        <v>96</v>
      </c>
    </row>
    <row r="35" spans="1:9" s="42" customFormat="1" ht="15.5" x14ac:dyDescent="0.25">
      <c r="A35" s="16" t="s">
        <v>97</v>
      </c>
      <c r="B35" s="50" t="s">
        <v>98</v>
      </c>
      <c r="C35" s="51"/>
      <c r="D35" s="55">
        <v>3</v>
      </c>
      <c r="E35" s="32" t="s">
        <v>99</v>
      </c>
      <c r="F35" s="53" t="s">
        <v>100</v>
      </c>
    </row>
    <row r="36" spans="1:9" s="42" customFormat="1" ht="15.5" x14ac:dyDescent="0.25">
      <c r="A36" s="16" t="s">
        <v>101</v>
      </c>
      <c r="B36" s="50" t="s">
        <v>102</v>
      </c>
      <c r="C36" s="51"/>
      <c r="D36" s="55">
        <v>1</v>
      </c>
      <c r="E36" s="32" t="s">
        <v>99</v>
      </c>
      <c r="F36" s="53" t="s">
        <v>100</v>
      </c>
    </row>
    <row r="37" spans="1:9" s="42" customFormat="1" ht="25" x14ac:dyDescent="0.25">
      <c r="A37" s="16" t="s">
        <v>103</v>
      </c>
      <c r="B37" s="50" t="s">
        <v>104</v>
      </c>
      <c r="C37" s="51"/>
      <c r="D37" s="55">
        <v>20000</v>
      </c>
      <c r="E37" s="32" t="s">
        <v>105</v>
      </c>
      <c r="F37" s="53" t="s">
        <v>106</v>
      </c>
    </row>
    <row r="38" spans="1:9" s="42" customFormat="1" ht="37.5" x14ac:dyDescent="0.25">
      <c r="A38" s="16" t="s">
        <v>107</v>
      </c>
      <c r="B38" s="50" t="s">
        <v>108</v>
      </c>
      <c r="C38" s="51" t="s">
        <v>109</v>
      </c>
      <c r="D38" s="65">
        <f>(D15-D16)/D15*100</f>
        <v>50</v>
      </c>
      <c r="E38" s="52" t="s">
        <v>29</v>
      </c>
      <c r="F38" s="53" t="s">
        <v>110</v>
      </c>
      <c r="G38" s="66"/>
      <c r="H38" s="66"/>
      <c r="I38" s="66"/>
    </row>
    <row r="39" spans="1:9" s="42" customFormat="1" ht="28" x14ac:dyDescent="0.25">
      <c r="A39" s="16" t="s">
        <v>111</v>
      </c>
      <c r="B39" s="50" t="s">
        <v>112</v>
      </c>
      <c r="C39" s="51" t="s">
        <v>113</v>
      </c>
      <c r="D39" s="65">
        <f>D9/(16*60)</f>
        <v>20.728035345408962</v>
      </c>
      <c r="E39" s="52" t="s">
        <v>114</v>
      </c>
      <c r="F39" s="53" t="s">
        <v>115</v>
      </c>
      <c r="G39" s="66"/>
      <c r="H39" s="66"/>
      <c r="I39" s="66"/>
    </row>
    <row r="40" spans="1:9" s="42" customFormat="1" ht="31" x14ac:dyDescent="0.25">
      <c r="A40" s="16" t="s">
        <v>116</v>
      </c>
      <c r="B40" s="50" t="s">
        <v>117</v>
      </c>
      <c r="C40" s="51" t="s">
        <v>118</v>
      </c>
      <c r="D40" s="55">
        <f>D39*1.15</f>
        <v>23.837240647220305</v>
      </c>
      <c r="E40" s="52" t="s">
        <v>114</v>
      </c>
      <c r="F40" s="53" t="s">
        <v>119</v>
      </c>
      <c r="G40" s="66"/>
      <c r="H40" s="66"/>
      <c r="I40" s="66"/>
    </row>
    <row r="41" spans="1:9" s="42" customFormat="1" ht="26.5" x14ac:dyDescent="0.25">
      <c r="A41" s="16" t="s">
        <v>120</v>
      </c>
      <c r="B41" s="50" t="s">
        <v>121</v>
      </c>
      <c r="C41" s="51" t="s">
        <v>122</v>
      </c>
      <c r="D41" s="57">
        <f>15.16-(0.03937*D7)+(0.0000274*D7^2)</f>
        <v>1.4019999999999992</v>
      </c>
      <c r="E41" s="52" t="s">
        <v>16</v>
      </c>
      <c r="F41" s="53" t="s">
        <v>123</v>
      </c>
      <c r="G41" s="66"/>
      <c r="H41" s="66"/>
      <c r="I41" s="66"/>
    </row>
    <row r="42" spans="1:9" s="42" customFormat="1" ht="15.5" x14ac:dyDescent="0.25">
      <c r="A42" s="16" t="s">
        <v>124</v>
      </c>
      <c r="B42" s="50" t="s">
        <v>125</v>
      </c>
      <c r="C42" s="51" t="s">
        <v>126</v>
      </c>
      <c r="D42" s="57">
        <f>1.2835-(0.0567*D34)</f>
        <v>1.1701000000000001</v>
      </c>
      <c r="E42" s="52"/>
      <c r="F42" s="53" t="s">
        <v>127</v>
      </c>
      <c r="G42" s="66"/>
      <c r="H42" s="66"/>
      <c r="I42" s="66"/>
    </row>
    <row r="43" spans="1:9" s="42" customFormat="1" ht="15.5" x14ac:dyDescent="0.25">
      <c r="A43" s="16" t="s">
        <v>128</v>
      </c>
      <c r="B43" s="50" t="s">
        <v>129</v>
      </c>
      <c r="C43" s="51" t="s">
        <v>130</v>
      </c>
      <c r="D43" s="57">
        <f>0.8524+(0.3208*D15)</f>
        <v>0.90051999999999999</v>
      </c>
      <c r="E43" s="52"/>
      <c r="F43" s="53" t="s">
        <v>131</v>
      </c>
      <c r="G43" s="66"/>
      <c r="H43" s="66"/>
      <c r="I43" s="66"/>
    </row>
    <row r="44" spans="1:9" s="42" customFormat="1" ht="15.5" x14ac:dyDescent="0.25">
      <c r="A44" s="16" t="s">
        <v>132</v>
      </c>
      <c r="B44" s="50" t="s">
        <v>133</v>
      </c>
      <c r="C44" s="51" t="s">
        <v>134</v>
      </c>
      <c r="D44" s="57">
        <f>0.2869+1.058*D38/100</f>
        <v>0.81590000000000007</v>
      </c>
      <c r="E44" s="32"/>
      <c r="F44" s="53" t="s">
        <v>135</v>
      </c>
      <c r="G44" s="66"/>
      <c r="H44" s="66"/>
      <c r="I44" s="66"/>
    </row>
    <row r="45" spans="1:9" s="42" customFormat="1" ht="31" x14ac:dyDescent="0.25">
      <c r="A45" s="16" t="s">
        <v>136</v>
      </c>
      <c r="B45" s="50" t="s">
        <v>137</v>
      </c>
      <c r="C45" s="51" t="s">
        <v>138</v>
      </c>
      <c r="D45" s="55">
        <f>2.81*D6*D44*D42*D43*D41/D33</f>
        <v>172.39528789846406</v>
      </c>
      <c r="E45" s="32" t="s">
        <v>139</v>
      </c>
      <c r="F45" s="53" t="s">
        <v>140</v>
      </c>
      <c r="G45" s="66"/>
      <c r="H45" s="66"/>
      <c r="I45" s="66"/>
    </row>
    <row r="46" spans="1:9" s="42" customFormat="1" ht="15.5" x14ac:dyDescent="0.25">
      <c r="A46" s="16" t="s">
        <v>141</v>
      </c>
      <c r="B46" s="50" t="s">
        <v>142</v>
      </c>
      <c r="C46" s="51" t="s">
        <v>143</v>
      </c>
      <c r="D46" s="55">
        <f>D45/(D47*D39)+1</f>
        <v>3.7723368379378313</v>
      </c>
      <c r="E46" s="32" t="s">
        <v>79</v>
      </c>
      <c r="F46" s="53" t="s">
        <v>144</v>
      </c>
      <c r="G46" s="66"/>
      <c r="H46" s="66"/>
      <c r="I46" s="66"/>
    </row>
    <row r="47" spans="1:9" s="42" customFormat="1" ht="15.5" x14ac:dyDescent="0.25">
      <c r="A47" s="16" t="s">
        <v>145</v>
      </c>
      <c r="B47" s="50" t="s">
        <v>146</v>
      </c>
      <c r="C47" s="51" t="s">
        <v>147</v>
      </c>
      <c r="D47" s="55">
        <f>ROUNDUP(D45/(D32*D39),0)</f>
        <v>3</v>
      </c>
      <c r="E47" s="32" t="s">
        <v>86</v>
      </c>
      <c r="F47" s="53" t="s">
        <v>148</v>
      </c>
    </row>
    <row r="48" spans="1:9" s="42" customFormat="1" ht="15.5" x14ac:dyDescent="0.25">
      <c r="A48" s="16" t="s">
        <v>149</v>
      </c>
      <c r="B48" s="50" t="s">
        <v>150</v>
      </c>
      <c r="C48" s="51" t="s">
        <v>151</v>
      </c>
      <c r="D48" s="55">
        <f>D47+D31</f>
        <v>3</v>
      </c>
      <c r="E48" s="32" t="s">
        <v>86</v>
      </c>
      <c r="F48" s="53" t="s">
        <v>152</v>
      </c>
    </row>
    <row r="49" spans="1:7" s="42" customFormat="1" ht="15.5" x14ac:dyDescent="0.25">
      <c r="A49" s="16" t="s">
        <v>153</v>
      </c>
      <c r="B49" s="50" t="s">
        <v>154</v>
      </c>
      <c r="C49" s="51" t="s">
        <v>155</v>
      </c>
      <c r="D49" s="55">
        <f>D48*(D28+D46)+D29</f>
        <v>41.3170105138135</v>
      </c>
      <c r="E49" s="32" t="s">
        <v>79</v>
      </c>
      <c r="F49" s="53" t="s">
        <v>156</v>
      </c>
    </row>
    <row r="50" spans="1:7" s="42" customFormat="1" ht="31" x14ac:dyDescent="0.25">
      <c r="A50" s="16" t="s">
        <v>157</v>
      </c>
      <c r="B50" s="50" t="s">
        <v>158</v>
      </c>
      <c r="C50" s="51" t="s">
        <v>159</v>
      </c>
      <c r="D50" s="55">
        <f>D15*D6*D38/100*D27*D24/D25</f>
        <v>1.4836476037817869</v>
      </c>
      <c r="E50" s="32" t="s">
        <v>160</v>
      </c>
      <c r="F50" s="53" t="s">
        <v>161</v>
      </c>
    </row>
    <row r="51" spans="1:7" s="42" customFormat="1" ht="16" thickBot="1" x14ac:dyDescent="0.3">
      <c r="A51" s="58" t="s">
        <v>162</v>
      </c>
      <c r="B51" s="59" t="s">
        <v>163</v>
      </c>
      <c r="C51" s="60" t="s">
        <v>164</v>
      </c>
      <c r="D51" s="61">
        <f>D50/0.19</f>
        <v>7.8086715988515101</v>
      </c>
      <c r="E51" s="62" t="s">
        <v>160</v>
      </c>
      <c r="F51" s="63" t="s">
        <v>165</v>
      </c>
    </row>
    <row r="52" spans="1:7" s="42" customFormat="1" ht="13" thickBot="1" x14ac:dyDescent="0.3">
      <c r="A52" s="43" t="s">
        <v>166</v>
      </c>
      <c r="B52" s="44"/>
      <c r="C52" s="45"/>
      <c r="D52" s="23"/>
      <c r="E52" s="24"/>
      <c r="F52" s="25"/>
    </row>
    <row r="53" spans="1:7" s="42" customFormat="1" ht="15.5" x14ac:dyDescent="0.25">
      <c r="A53" s="12" t="s">
        <v>167</v>
      </c>
      <c r="B53" s="46" t="s">
        <v>168</v>
      </c>
      <c r="C53" s="47" t="s">
        <v>169</v>
      </c>
      <c r="D53" s="64">
        <f>D45*D18</f>
        <v>42761.728682985871</v>
      </c>
      <c r="E53" s="28" t="s">
        <v>170</v>
      </c>
      <c r="F53" s="48" t="s">
        <v>171</v>
      </c>
    </row>
    <row r="54" spans="1:7" s="42" customFormat="1" ht="28" x14ac:dyDescent="0.25">
      <c r="A54" s="16" t="s">
        <v>172</v>
      </c>
      <c r="B54" s="50" t="s">
        <v>173</v>
      </c>
      <c r="C54" s="51" t="s">
        <v>174</v>
      </c>
      <c r="D54" s="55">
        <f>(411*D50/D6-47.3)*C132/C109</f>
        <v>-64.20179571667596</v>
      </c>
      <c r="E54" s="32" t="s">
        <v>175</v>
      </c>
      <c r="F54" s="53" t="s">
        <v>176</v>
      </c>
    </row>
    <row r="55" spans="1:7" s="42" customFormat="1" ht="28" x14ac:dyDescent="0.25">
      <c r="A55" s="16" t="s">
        <v>177</v>
      </c>
      <c r="B55" s="50" t="s">
        <v>178</v>
      </c>
      <c r="C55" s="51" t="s">
        <v>179</v>
      </c>
      <c r="D55" s="55">
        <f>(6.12*D49-187.9)*C132/C109</f>
        <v>118.07895731946942</v>
      </c>
      <c r="E55" s="32" t="s">
        <v>175</v>
      </c>
      <c r="F55" s="53" t="s">
        <v>180</v>
      </c>
    </row>
    <row r="56" spans="1:7" s="42" customFormat="1" x14ac:dyDescent="0.25">
      <c r="A56" s="16" t="s">
        <v>181</v>
      </c>
      <c r="B56" s="50" t="s">
        <v>182</v>
      </c>
      <c r="C56" s="51" t="s">
        <v>183</v>
      </c>
      <c r="D56" s="55">
        <v>0</v>
      </c>
      <c r="E56" s="32" t="s">
        <v>175</v>
      </c>
      <c r="F56" s="53" t="s">
        <v>184</v>
      </c>
    </row>
    <row r="57" spans="1:7" s="42" customFormat="1" ht="15.5" x14ac:dyDescent="0.25">
      <c r="A57" s="16" t="s">
        <v>185</v>
      </c>
      <c r="B57" s="50" t="s">
        <v>186</v>
      </c>
      <c r="C57" s="68">
        <v>70000</v>
      </c>
      <c r="D57" s="55">
        <f>70000*C132/C120</f>
        <v>94960.720444529608</v>
      </c>
      <c r="E57" s="32" t="s">
        <v>170</v>
      </c>
      <c r="F57" s="53" t="s">
        <v>187</v>
      </c>
    </row>
    <row r="58" spans="1:7" s="42" customFormat="1" ht="28" x14ac:dyDescent="0.25">
      <c r="A58" s="34" t="s">
        <v>188</v>
      </c>
      <c r="B58" s="40" t="s">
        <v>189</v>
      </c>
      <c r="C58" s="108"/>
      <c r="D58" s="170">
        <f>Costs!D79*C132/C118</f>
        <v>221191.38517320139</v>
      </c>
      <c r="E58" s="162" t="s">
        <v>170</v>
      </c>
      <c r="F58" s="172" t="s">
        <v>190</v>
      </c>
    </row>
    <row r="59" spans="1:7" s="42" customFormat="1" ht="78" thickBot="1" x14ac:dyDescent="0.3">
      <c r="A59" s="173" t="s">
        <v>191</v>
      </c>
      <c r="B59" s="59" t="s">
        <v>192</v>
      </c>
      <c r="C59" s="60" t="s">
        <v>1197</v>
      </c>
      <c r="D59" s="174">
        <f>(D6*(3380*C132/C109+D55+D54+D56)*(3500/D6)^0.35+D53+D57+D58)</f>
        <v>1745748.5458455733</v>
      </c>
      <c r="E59" s="175" t="s">
        <v>170</v>
      </c>
      <c r="F59" s="63" t="s">
        <v>193</v>
      </c>
      <c r="G59" s="157"/>
    </row>
    <row r="60" spans="1:7" s="42" customFormat="1" ht="13" thickBot="1" x14ac:dyDescent="0.3">
      <c r="A60" s="43" t="s">
        <v>194</v>
      </c>
      <c r="B60" s="44"/>
      <c r="C60" s="45"/>
      <c r="D60" s="23"/>
      <c r="E60" s="24"/>
      <c r="F60" s="25"/>
    </row>
    <row r="61" spans="1:7" s="42" customFormat="1" ht="15.5" x14ac:dyDescent="0.25">
      <c r="A61" s="69" t="s">
        <v>195</v>
      </c>
      <c r="B61" s="46" t="s">
        <v>196</v>
      </c>
      <c r="C61" s="47" t="s">
        <v>197</v>
      </c>
      <c r="D61" s="70">
        <v>20000</v>
      </c>
      <c r="E61" s="71" t="s">
        <v>170</v>
      </c>
      <c r="F61" s="48" t="s">
        <v>198</v>
      </c>
    </row>
    <row r="62" spans="1:7" s="42" customFormat="1" ht="15.5" x14ac:dyDescent="0.25">
      <c r="A62" s="16" t="s">
        <v>199</v>
      </c>
      <c r="B62" s="50" t="s">
        <v>200</v>
      </c>
      <c r="C62" s="51" t="s">
        <v>201</v>
      </c>
      <c r="D62" s="55">
        <f>0.05*D59</f>
        <v>87287.427292278677</v>
      </c>
      <c r="E62" s="32" t="s">
        <v>170</v>
      </c>
      <c r="F62" s="53" t="s">
        <v>202</v>
      </c>
    </row>
    <row r="63" spans="1:7" s="42" customFormat="1" ht="15.5" x14ac:dyDescent="0.25">
      <c r="A63" s="16" t="s">
        <v>203</v>
      </c>
      <c r="B63" s="50" t="s">
        <v>204</v>
      </c>
      <c r="C63" s="51" t="s">
        <v>205</v>
      </c>
      <c r="D63" s="55">
        <f>0.1*D59</f>
        <v>174574.85458455735</v>
      </c>
      <c r="E63" s="32" t="s">
        <v>170</v>
      </c>
      <c r="F63" s="53" t="s">
        <v>202</v>
      </c>
    </row>
    <row r="64" spans="1:7" s="42" customFormat="1" ht="15.5" x14ac:dyDescent="0.25">
      <c r="A64" s="16" t="s">
        <v>206</v>
      </c>
      <c r="B64" s="50" t="s">
        <v>207</v>
      </c>
      <c r="C64" s="67" t="s">
        <v>201</v>
      </c>
      <c r="D64" s="55">
        <f>0.05*D59</f>
        <v>87287.427292278677</v>
      </c>
      <c r="E64" s="32" t="s">
        <v>170</v>
      </c>
      <c r="F64" s="53" t="s">
        <v>202</v>
      </c>
    </row>
    <row r="65" spans="1:6" s="42" customFormat="1" ht="15.5" x14ac:dyDescent="0.25">
      <c r="A65" s="16" t="s">
        <v>208</v>
      </c>
      <c r="B65" s="50" t="s">
        <v>209</v>
      </c>
      <c r="C65" s="51" t="s">
        <v>210</v>
      </c>
      <c r="D65" s="55">
        <f>SUM(D61:D64)</f>
        <v>369149.70916911471</v>
      </c>
      <c r="E65" s="32" t="s">
        <v>170</v>
      </c>
      <c r="F65" s="53" t="s">
        <v>171</v>
      </c>
    </row>
    <row r="66" spans="1:6" s="42" customFormat="1" ht="13" thickBot="1" x14ac:dyDescent="0.3">
      <c r="A66" s="16" t="s">
        <v>211</v>
      </c>
      <c r="B66" s="50" t="s">
        <v>212</v>
      </c>
      <c r="C66" s="68" t="s">
        <v>213</v>
      </c>
      <c r="D66" s="55">
        <f>0.15*(D59+D65)</f>
        <v>317234.73825220315</v>
      </c>
      <c r="E66" s="52" t="s">
        <v>170</v>
      </c>
      <c r="F66" s="53" t="s">
        <v>214</v>
      </c>
    </row>
    <row r="67" spans="1:6" s="42" customFormat="1" ht="13" thickBot="1" x14ac:dyDescent="0.3">
      <c r="A67" s="43" t="s">
        <v>215</v>
      </c>
      <c r="B67" s="44"/>
      <c r="C67" s="45"/>
      <c r="D67" s="23"/>
      <c r="E67" s="24"/>
      <c r="F67" s="25"/>
    </row>
    <row r="68" spans="1:6" s="42" customFormat="1" x14ac:dyDescent="0.25">
      <c r="A68" s="72" t="s">
        <v>216</v>
      </c>
      <c r="B68" s="73" t="s">
        <v>217</v>
      </c>
      <c r="C68" s="74" t="s">
        <v>218</v>
      </c>
      <c r="D68" s="75">
        <f>D59+D65+D66</f>
        <v>2432132.9932668908</v>
      </c>
      <c r="E68" s="76" t="s">
        <v>170</v>
      </c>
      <c r="F68" s="77" t="s">
        <v>219</v>
      </c>
    </row>
    <row r="69" spans="1:6" s="42" customFormat="1" x14ac:dyDescent="0.25">
      <c r="A69" s="16" t="s">
        <v>220</v>
      </c>
      <c r="B69" s="50" t="s">
        <v>221</v>
      </c>
      <c r="C69" s="51" t="s">
        <v>222</v>
      </c>
      <c r="D69" s="55">
        <f>0.02*D68</f>
        <v>48642.659865337817</v>
      </c>
      <c r="E69" s="52" t="s">
        <v>170</v>
      </c>
      <c r="F69" s="53" t="s">
        <v>202</v>
      </c>
    </row>
    <row r="70" spans="1:6" s="42" customFormat="1" ht="28" x14ac:dyDescent="0.25">
      <c r="A70" s="34" t="s">
        <v>223</v>
      </c>
      <c r="B70" s="40" t="s">
        <v>224</v>
      </c>
      <c r="C70" s="169" t="s">
        <v>225</v>
      </c>
      <c r="D70" s="170">
        <f>D19*D51*14*24</f>
        <v>196.83095661834051</v>
      </c>
      <c r="E70" s="171" t="s">
        <v>170</v>
      </c>
      <c r="F70" s="172" t="s">
        <v>226</v>
      </c>
    </row>
    <row r="71" spans="1:6" s="42" customFormat="1" ht="25.5" thickBot="1" x14ac:dyDescent="0.3">
      <c r="A71" s="173" t="s">
        <v>1212</v>
      </c>
      <c r="B71" s="59"/>
      <c r="C71" s="60" t="s">
        <v>1219</v>
      </c>
      <c r="D71" s="174">
        <f>SUM(D68:D70)*50%</f>
        <v>1240486.2420444235</v>
      </c>
      <c r="E71" s="175"/>
      <c r="F71" s="63" t="s">
        <v>1213</v>
      </c>
    </row>
    <row r="72" spans="1:6" s="42" customFormat="1" ht="13" thickBot="1" x14ac:dyDescent="0.3">
      <c r="A72" s="43" t="s">
        <v>215</v>
      </c>
      <c r="B72" s="78" t="s">
        <v>227</v>
      </c>
      <c r="C72" s="79" t="s">
        <v>228</v>
      </c>
      <c r="D72" s="80">
        <f>SUM(D68:D71)</f>
        <v>3721458.7261332702</v>
      </c>
      <c r="E72" s="81" t="s">
        <v>170</v>
      </c>
      <c r="F72" s="82" t="s">
        <v>202</v>
      </c>
    </row>
    <row r="73" spans="1:6" s="42" customFormat="1" ht="13" thickBot="1" x14ac:dyDescent="0.3">
      <c r="A73" s="43" t="s">
        <v>229</v>
      </c>
      <c r="B73" s="44"/>
      <c r="C73" s="45"/>
      <c r="D73" s="23"/>
      <c r="E73" s="24"/>
      <c r="F73" s="25"/>
    </row>
    <row r="74" spans="1:6" s="42" customFormat="1" ht="13" thickBot="1" x14ac:dyDescent="0.3">
      <c r="A74" s="200" t="s">
        <v>230</v>
      </c>
      <c r="B74" s="201"/>
      <c r="C74" s="201"/>
      <c r="D74" s="201"/>
      <c r="E74" s="201"/>
      <c r="F74" s="202"/>
    </row>
    <row r="75" spans="1:6" s="42" customFormat="1" ht="28" x14ac:dyDescent="0.25">
      <c r="A75" s="12" t="s">
        <v>231</v>
      </c>
      <c r="B75" s="46" t="s">
        <v>232</v>
      </c>
      <c r="C75" s="47" t="s">
        <v>233</v>
      </c>
      <c r="D75" s="64">
        <f>D13/24*0.5*60*C132/C127</f>
        <v>14311.611593132729</v>
      </c>
      <c r="E75" s="28" t="s">
        <v>170</v>
      </c>
      <c r="F75" s="48" t="s">
        <v>234</v>
      </c>
    </row>
    <row r="76" spans="1:6" s="42" customFormat="1" ht="25" x14ac:dyDescent="0.25">
      <c r="A76" s="16" t="s">
        <v>235</v>
      </c>
      <c r="B76" s="50" t="s">
        <v>236</v>
      </c>
      <c r="C76" s="51" t="s">
        <v>237</v>
      </c>
      <c r="D76" s="55">
        <f>0.15*D75</f>
        <v>2146.7417389699094</v>
      </c>
      <c r="E76" s="32" t="s">
        <v>170</v>
      </c>
      <c r="F76" s="33" t="s">
        <v>238</v>
      </c>
    </row>
    <row r="77" spans="1:6" s="42" customFormat="1" ht="15.5" x14ac:dyDescent="0.25">
      <c r="A77" s="49" t="s">
        <v>239</v>
      </c>
      <c r="B77" s="50" t="s">
        <v>240</v>
      </c>
      <c r="C77" s="51" t="s">
        <v>241</v>
      </c>
      <c r="D77" s="182">
        <f>0.005*D72</f>
        <v>18607.293630666351</v>
      </c>
      <c r="E77" s="52" t="s">
        <v>170</v>
      </c>
      <c r="F77" s="53" t="s">
        <v>242</v>
      </c>
    </row>
    <row r="78" spans="1:6" s="42" customFormat="1" ht="15.5" x14ac:dyDescent="0.25">
      <c r="A78" s="49" t="s">
        <v>243</v>
      </c>
      <c r="B78" s="50" t="s">
        <v>244</v>
      </c>
      <c r="C78" s="51" t="s">
        <v>245</v>
      </c>
      <c r="D78" s="182">
        <f>D19*D51*D11</f>
        <v>5131.66422612102</v>
      </c>
      <c r="E78" s="52" t="s">
        <v>170</v>
      </c>
      <c r="F78" s="53" t="s">
        <v>246</v>
      </c>
    </row>
    <row r="79" spans="1:6" s="42" customFormat="1" ht="46.5" x14ac:dyDescent="0.25">
      <c r="A79" s="49" t="s">
        <v>247</v>
      </c>
      <c r="B79" s="50" t="s">
        <v>248</v>
      </c>
      <c r="C79" s="51" t="s">
        <v>249</v>
      </c>
      <c r="D79" s="182">
        <f>0.1*D6*1000*0.0056*(1*1)^0.43*D21*D13</f>
        <v>21348.925920000001</v>
      </c>
      <c r="E79" s="52" t="s">
        <v>170</v>
      </c>
      <c r="F79" s="53" t="s">
        <v>250</v>
      </c>
    </row>
    <row r="80" spans="1:6" s="42" customFormat="1" ht="37.5" x14ac:dyDescent="0.25">
      <c r="A80" s="49" t="s">
        <v>251</v>
      </c>
      <c r="B80" s="50" t="s">
        <v>252</v>
      </c>
      <c r="C80" s="51"/>
      <c r="D80" s="182">
        <f>Costs!D156*115%*C132/C118</f>
        <v>93926.167328097843</v>
      </c>
      <c r="E80" s="52" t="s">
        <v>170</v>
      </c>
      <c r="F80" s="53" t="s">
        <v>253</v>
      </c>
    </row>
    <row r="81" spans="1:6" s="42" customFormat="1" ht="28" x14ac:dyDescent="0.25">
      <c r="A81" s="49" t="s">
        <v>254</v>
      </c>
      <c r="B81" s="50" t="s">
        <v>255</v>
      </c>
      <c r="C81" s="51" t="s">
        <v>256</v>
      </c>
      <c r="D81" s="182">
        <f>D33*D45*D18/D47</f>
        <v>14253.909560995291</v>
      </c>
      <c r="E81" s="52" t="s">
        <v>170</v>
      </c>
      <c r="F81" s="53" t="s">
        <v>257</v>
      </c>
    </row>
    <row r="82" spans="1:6" s="42" customFormat="1" ht="14" x14ac:dyDescent="0.25">
      <c r="A82" s="49" t="s">
        <v>258</v>
      </c>
      <c r="B82" s="50" t="s">
        <v>259</v>
      </c>
      <c r="C82" s="51" t="s">
        <v>260</v>
      </c>
      <c r="D82" s="183">
        <f>D95/100*(1/((1+D95/100)^(D37/D13)-1))</f>
        <v>0.43776827960885012</v>
      </c>
      <c r="E82" s="52"/>
      <c r="F82" s="53" t="s">
        <v>261</v>
      </c>
    </row>
    <row r="83" spans="1:6" s="42" customFormat="1" ht="15.5" x14ac:dyDescent="0.25">
      <c r="A83" s="49" t="s">
        <v>262</v>
      </c>
      <c r="B83" s="50" t="s">
        <v>263</v>
      </c>
      <c r="C83" s="51" t="s">
        <v>264</v>
      </c>
      <c r="D83" s="182">
        <f>D81*D82</f>
        <v>6239.9094662170482</v>
      </c>
      <c r="E83" s="52" t="s">
        <v>170</v>
      </c>
      <c r="F83" s="53" t="s">
        <v>265</v>
      </c>
    </row>
    <row r="84" spans="1:6" s="42" customFormat="1" ht="15.5" x14ac:dyDescent="0.25">
      <c r="A84" s="49" t="s">
        <v>266</v>
      </c>
      <c r="B84" s="50" t="s">
        <v>267</v>
      </c>
      <c r="C84" s="51" t="s">
        <v>268</v>
      </c>
      <c r="D84" s="182">
        <f>D88*D20</f>
        <v>58960.483532978142</v>
      </c>
      <c r="E84" s="52"/>
      <c r="F84" s="53"/>
    </row>
    <row r="85" spans="1:6" s="42" customFormat="1" ht="26.5" x14ac:dyDescent="0.25">
      <c r="A85" s="184" t="s">
        <v>269</v>
      </c>
      <c r="B85" s="176" t="s">
        <v>270</v>
      </c>
      <c r="C85" s="177" t="s">
        <v>271</v>
      </c>
      <c r="D85" s="185">
        <f>14.7/(D7+460)/10.731577089016</f>
        <v>1.2922541033131101E-3</v>
      </c>
      <c r="E85" s="186" t="s">
        <v>272</v>
      </c>
      <c r="F85" s="178" t="s">
        <v>273</v>
      </c>
    </row>
    <row r="86" spans="1:6" s="42" customFormat="1" ht="25" x14ac:dyDescent="0.25">
      <c r="A86" s="184" t="s">
        <v>274</v>
      </c>
      <c r="B86" s="176" t="s">
        <v>275</v>
      </c>
      <c r="C86" s="177" t="s">
        <v>276</v>
      </c>
      <c r="D86" s="187">
        <f>FORECAST(D7,'Cp Air'!M6:M34,'Cp Air'!D6:D34)*29</f>
        <v>7.675797649017766</v>
      </c>
      <c r="E86" s="186" t="s">
        <v>277</v>
      </c>
      <c r="F86" s="178" t="s">
        <v>278</v>
      </c>
    </row>
    <row r="87" spans="1:6" s="42" customFormat="1" ht="31" x14ac:dyDescent="0.25">
      <c r="A87" s="184" t="s">
        <v>279</v>
      </c>
      <c r="B87" s="176" t="s">
        <v>280</v>
      </c>
      <c r="C87" s="177" t="s">
        <v>1198</v>
      </c>
      <c r="D87" s="187">
        <f>(460+68)/(460+D7)*D85*D86*(D14-D7)*120%</f>
        <v>0.59289903082643847</v>
      </c>
      <c r="E87" s="186" t="s">
        <v>281</v>
      </c>
      <c r="F87" s="178" t="s">
        <v>1199</v>
      </c>
    </row>
    <row r="88" spans="1:6" s="42" customFormat="1" ht="31.5" thickBot="1" x14ac:dyDescent="0.3">
      <c r="A88" s="188" t="s">
        <v>282</v>
      </c>
      <c r="B88" s="179" t="s">
        <v>283</v>
      </c>
      <c r="C88" s="180" t="s">
        <v>1200</v>
      </c>
      <c r="D88" s="189">
        <f>IF(D8*D87/1020000*60*D13&lt;0,0,D8*D87/1020000*60*D13)</f>
        <v>5520.6445255597509</v>
      </c>
      <c r="E88" s="190" t="s">
        <v>284</v>
      </c>
      <c r="F88" s="181" t="s">
        <v>285</v>
      </c>
    </row>
    <row r="89" spans="1:6" s="42" customFormat="1" ht="47" thickBot="1" x14ac:dyDescent="0.3">
      <c r="A89" s="83" t="s">
        <v>230</v>
      </c>
      <c r="B89" s="84" t="s">
        <v>286</v>
      </c>
      <c r="C89" s="85" t="s">
        <v>287</v>
      </c>
      <c r="D89" s="86">
        <f>SUM(D83:D84,D75:D81)</f>
        <v>234926.70699717832</v>
      </c>
      <c r="E89" s="87" t="s">
        <v>288</v>
      </c>
      <c r="F89" s="88" t="s">
        <v>289</v>
      </c>
    </row>
    <row r="90" spans="1:6" s="66" customFormat="1" ht="13" thickBot="1" x14ac:dyDescent="0.3">
      <c r="A90" s="200" t="s">
        <v>290</v>
      </c>
      <c r="B90" s="201"/>
      <c r="C90" s="201"/>
      <c r="D90" s="201"/>
      <c r="E90" s="201"/>
      <c r="F90" s="202"/>
    </row>
    <row r="91" spans="1:6" ht="15.5" x14ac:dyDescent="0.25">
      <c r="A91" s="12" t="s">
        <v>291</v>
      </c>
      <c r="B91" s="46" t="s">
        <v>292</v>
      </c>
      <c r="C91" s="47" t="s">
        <v>293</v>
      </c>
      <c r="D91" s="64">
        <f>0.03*D75+0.4*D77</f>
        <v>7872.2658000605225</v>
      </c>
      <c r="E91" s="28" t="s">
        <v>288</v>
      </c>
      <c r="F91" s="48" t="s">
        <v>294</v>
      </c>
    </row>
    <row r="92" spans="1:6" s="66" customFormat="1" ht="16" thickBot="1" x14ac:dyDescent="0.3">
      <c r="A92" s="69" t="s">
        <v>295</v>
      </c>
      <c r="B92" s="46" t="s">
        <v>296</v>
      </c>
      <c r="C92" s="47" t="s">
        <v>297</v>
      </c>
      <c r="D92" s="70">
        <f>0.6*SUM(D75:D77)</f>
        <v>21039.388177661396</v>
      </c>
      <c r="E92" s="71" t="s">
        <v>288</v>
      </c>
      <c r="F92" s="48" t="s">
        <v>298</v>
      </c>
    </row>
    <row r="93" spans="1:6" ht="16" thickBot="1" x14ac:dyDescent="0.3">
      <c r="A93" s="83" t="s">
        <v>290</v>
      </c>
      <c r="B93" s="84" t="s">
        <v>299</v>
      </c>
      <c r="C93" s="85" t="s">
        <v>300</v>
      </c>
      <c r="D93" s="86">
        <f>SUM(D91:D92)</f>
        <v>28911.653977721919</v>
      </c>
      <c r="E93" s="87" t="s">
        <v>170</v>
      </c>
      <c r="F93" s="88" t="s">
        <v>301</v>
      </c>
    </row>
    <row r="94" spans="1:6" ht="13" thickBot="1" x14ac:dyDescent="0.3">
      <c r="A94" s="200" t="s">
        <v>302</v>
      </c>
      <c r="B94" s="201"/>
      <c r="C94" s="201"/>
      <c r="D94" s="201"/>
      <c r="E94" s="201"/>
      <c r="F94" s="202"/>
    </row>
    <row r="95" spans="1:6" x14ac:dyDescent="0.25">
      <c r="A95" s="49" t="s">
        <v>303</v>
      </c>
      <c r="B95" s="50" t="s">
        <v>304</v>
      </c>
      <c r="C95" s="51"/>
      <c r="D95" s="198">
        <v>8.2500000000000004E-2</v>
      </c>
      <c r="E95" s="52"/>
      <c r="F95" s="197" t="s">
        <v>1223</v>
      </c>
    </row>
    <row r="96" spans="1:6" x14ac:dyDescent="0.25">
      <c r="A96" s="49" t="s">
        <v>305</v>
      </c>
      <c r="B96" s="50" t="s">
        <v>306</v>
      </c>
      <c r="C96" s="51"/>
      <c r="D96" s="191">
        <v>20</v>
      </c>
      <c r="E96" s="52" t="s">
        <v>307</v>
      </c>
      <c r="F96" s="53" t="s">
        <v>308</v>
      </c>
    </row>
    <row r="97" spans="1:6" ht="14.5" thickBot="1" x14ac:dyDescent="0.3">
      <c r="A97" s="16" t="s">
        <v>309</v>
      </c>
      <c r="B97" s="50" t="s">
        <v>310</v>
      </c>
      <c r="C97" s="51" t="s">
        <v>311</v>
      </c>
      <c r="D97" s="89">
        <f>D95*(1+D95)^D96/((1+D95)^D96-1)</f>
        <v>0.10375437372961858</v>
      </c>
      <c r="E97" s="32"/>
      <c r="F97" s="53" t="s">
        <v>312</v>
      </c>
    </row>
    <row r="98" spans="1:6" ht="16" thickBot="1" x14ac:dyDescent="0.3">
      <c r="A98" s="83" t="s">
        <v>313</v>
      </c>
      <c r="B98" s="84" t="s">
        <v>314</v>
      </c>
      <c r="C98" s="85" t="s">
        <v>315</v>
      </c>
      <c r="D98" s="86">
        <f>D97*D72</f>
        <v>386117.61949058162</v>
      </c>
      <c r="E98" s="87" t="s">
        <v>288</v>
      </c>
      <c r="F98" s="88" t="s">
        <v>316</v>
      </c>
    </row>
    <row r="99" spans="1:6" ht="13" thickBot="1" x14ac:dyDescent="0.3">
      <c r="A99" s="43" t="s">
        <v>229</v>
      </c>
      <c r="B99" s="78" t="s">
        <v>317</v>
      </c>
      <c r="C99" s="79" t="s">
        <v>318</v>
      </c>
      <c r="D99" s="80">
        <f>D89+D93+D98</f>
        <v>649955.98046548187</v>
      </c>
      <c r="E99" s="81" t="s">
        <v>288</v>
      </c>
      <c r="F99" s="82" t="s">
        <v>319</v>
      </c>
    </row>
    <row r="100" spans="1:6" ht="13" thickBot="1" x14ac:dyDescent="0.3">
      <c r="A100" s="43" t="s">
        <v>320</v>
      </c>
      <c r="B100" s="44"/>
      <c r="C100" s="45"/>
      <c r="D100" s="23"/>
      <c r="E100" s="24"/>
      <c r="F100" s="25"/>
    </row>
    <row r="101" spans="1:6" ht="28" x14ac:dyDescent="0.25">
      <c r="A101" s="72" t="s">
        <v>1201</v>
      </c>
      <c r="B101" s="73" t="s">
        <v>1202</v>
      </c>
      <c r="C101" s="74" t="s">
        <v>1203</v>
      </c>
      <c r="D101" s="75">
        <f>D88/10^3*100/2000</f>
        <v>0.27603222627798757</v>
      </c>
      <c r="E101" s="91" t="s">
        <v>324</v>
      </c>
      <c r="F101" s="77" t="s">
        <v>1204</v>
      </c>
    </row>
    <row r="102" spans="1:6" ht="28.5" thickBot="1" x14ac:dyDescent="0.3">
      <c r="A102" s="72" t="s">
        <v>321</v>
      </c>
      <c r="B102" s="73" t="s">
        <v>322</v>
      </c>
      <c r="C102" s="74" t="s">
        <v>323</v>
      </c>
      <c r="D102" s="90">
        <f>(D15)*D38/100*D6*D11/2000</f>
        <v>16.720649999999999</v>
      </c>
      <c r="E102" s="91" t="s">
        <v>324</v>
      </c>
      <c r="F102" s="77" t="s">
        <v>1205</v>
      </c>
    </row>
    <row r="103" spans="1:6" s="92" customFormat="1" ht="16" thickBot="1" x14ac:dyDescent="0.3">
      <c r="A103" s="43" t="s">
        <v>325</v>
      </c>
      <c r="B103" s="78"/>
      <c r="C103" s="79" t="s">
        <v>326</v>
      </c>
      <c r="D103" s="80">
        <f>D99/D102</f>
        <v>38871.454187814583</v>
      </c>
      <c r="E103" s="81" t="s">
        <v>327</v>
      </c>
      <c r="F103" s="82" t="s">
        <v>328</v>
      </c>
    </row>
    <row r="104" spans="1:6" s="97" customFormat="1" ht="10.5" thickBot="1" x14ac:dyDescent="0.25">
      <c r="A104" s="105" t="s">
        <v>329</v>
      </c>
      <c r="B104" s="93"/>
      <c r="C104" s="94"/>
      <c r="D104" s="95"/>
      <c r="E104" s="96"/>
    </row>
    <row r="105" spans="1:6" s="97" customFormat="1" ht="10.5" thickBot="1" x14ac:dyDescent="0.25">
      <c r="B105" s="98" t="s">
        <v>330</v>
      </c>
      <c r="C105" s="99" t="s">
        <v>331</v>
      </c>
      <c r="D105" s="95"/>
      <c r="E105" s="96"/>
    </row>
    <row r="106" spans="1:6" s="97" customFormat="1" ht="10" x14ac:dyDescent="0.2">
      <c r="B106" s="100">
        <v>1995</v>
      </c>
      <c r="C106" s="101">
        <v>381.1</v>
      </c>
      <c r="D106" s="95"/>
      <c r="E106" s="96"/>
    </row>
    <row r="107" spans="1:6" s="97" customFormat="1" ht="10" x14ac:dyDescent="0.2">
      <c r="B107" s="102">
        <v>1996</v>
      </c>
      <c r="C107" s="103">
        <v>381.7</v>
      </c>
      <c r="D107" s="95"/>
      <c r="E107" s="104"/>
    </row>
    <row r="108" spans="1:6" s="97" customFormat="1" ht="10" x14ac:dyDescent="0.2">
      <c r="B108" s="102">
        <v>1997</v>
      </c>
      <c r="C108" s="103">
        <v>386.5</v>
      </c>
      <c r="D108" s="95"/>
      <c r="E108" s="96"/>
    </row>
    <row r="109" spans="1:6" s="97" customFormat="1" ht="10" x14ac:dyDescent="0.2">
      <c r="B109" s="102">
        <v>1998</v>
      </c>
      <c r="C109" s="103">
        <v>389.5</v>
      </c>
      <c r="D109" s="95"/>
      <c r="E109" s="96"/>
    </row>
    <row r="110" spans="1:6" s="97" customFormat="1" ht="10" x14ac:dyDescent="0.2">
      <c r="B110" s="102">
        <v>1999</v>
      </c>
      <c r="C110" s="103">
        <v>391.8</v>
      </c>
      <c r="D110" s="95"/>
      <c r="E110" s="96"/>
    </row>
    <row r="111" spans="1:6" s="97" customFormat="1" ht="10" x14ac:dyDescent="0.2">
      <c r="B111" s="102">
        <v>2000</v>
      </c>
      <c r="C111" s="103">
        <v>394.1</v>
      </c>
      <c r="D111" s="95"/>
      <c r="E111" s="96"/>
    </row>
    <row r="112" spans="1:6" s="97" customFormat="1" ht="10" x14ac:dyDescent="0.2">
      <c r="B112" s="102">
        <v>2001</v>
      </c>
      <c r="C112" s="103">
        <v>394.3</v>
      </c>
      <c r="D112" s="95"/>
      <c r="E112" s="96"/>
    </row>
    <row r="113" spans="2:5" s="97" customFormat="1" ht="10" x14ac:dyDescent="0.2">
      <c r="B113" s="102">
        <v>2002</v>
      </c>
      <c r="C113" s="103">
        <v>395.6</v>
      </c>
      <c r="D113" s="95"/>
      <c r="E113" s="96"/>
    </row>
    <row r="114" spans="2:5" s="97" customFormat="1" ht="10" x14ac:dyDescent="0.2">
      <c r="B114" s="102">
        <v>2003</v>
      </c>
      <c r="C114" s="103">
        <v>402</v>
      </c>
      <c r="D114" s="95"/>
      <c r="E114" s="96"/>
    </row>
    <row r="115" spans="2:5" s="97" customFormat="1" ht="10" x14ac:dyDescent="0.2">
      <c r="B115" s="102">
        <v>2004</v>
      </c>
      <c r="C115" s="103">
        <v>444.2</v>
      </c>
      <c r="D115" s="95"/>
      <c r="E115" s="96"/>
    </row>
    <row r="116" spans="2:5" s="97" customFormat="1" ht="10" x14ac:dyDescent="0.2">
      <c r="B116" s="102">
        <v>2005</v>
      </c>
      <c r="C116" s="103">
        <v>468.2</v>
      </c>
      <c r="D116" s="95"/>
      <c r="E116" s="96"/>
    </row>
    <row r="117" spans="2:5" s="97" customFormat="1" ht="10" x14ac:dyDescent="0.2">
      <c r="B117" s="102">
        <v>2006</v>
      </c>
      <c r="C117" s="103">
        <v>499.6</v>
      </c>
      <c r="D117" s="95"/>
      <c r="E117" s="96"/>
    </row>
    <row r="118" spans="2:5" s="97" customFormat="1" ht="10" x14ac:dyDescent="0.2">
      <c r="B118" s="102">
        <v>2007</v>
      </c>
      <c r="C118" s="103">
        <v>525.4</v>
      </c>
      <c r="D118" s="95"/>
      <c r="E118" s="96"/>
    </row>
    <row r="119" spans="2:5" s="97" customFormat="1" ht="10" x14ac:dyDescent="0.2">
      <c r="B119" s="102">
        <v>2008</v>
      </c>
      <c r="C119" s="103">
        <v>575.4</v>
      </c>
      <c r="D119" s="95"/>
      <c r="E119" s="96"/>
    </row>
    <row r="120" spans="2:5" s="97" customFormat="1" ht="10" x14ac:dyDescent="0.2">
      <c r="B120" s="102">
        <v>2009</v>
      </c>
      <c r="C120" s="103">
        <v>521.9</v>
      </c>
      <c r="D120" s="95"/>
      <c r="E120" s="96"/>
    </row>
    <row r="121" spans="2:5" s="97" customFormat="1" ht="10" x14ac:dyDescent="0.2">
      <c r="B121" s="102">
        <v>2010</v>
      </c>
      <c r="C121" s="103">
        <v>550.79999999999995</v>
      </c>
      <c r="D121" s="95"/>
      <c r="E121" s="96"/>
    </row>
    <row r="122" spans="2:5" s="97" customFormat="1" ht="10" x14ac:dyDescent="0.2">
      <c r="B122" s="102">
        <v>2011</v>
      </c>
      <c r="C122" s="103">
        <v>593.20000000000005</v>
      </c>
      <c r="D122" s="95"/>
      <c r="E122" s="96"/>
    </row>
    <row r="123" spans="2:5" s="97" customFormat="1" ht="10" x14ac:dyDescent="0.2">
      <c r="B123" s="102">
        <v>2012</v>
      </c>
      <c r="C123" s="103">
        <v>584.6</v>
      </c>
      <c r="D123" s="95"/>
      <c r="E123" s="96"/>
    </row>
    <row r="124" spans="2:5" s="97" customFormat="1" ht="10" x14ac:dyDescent="0.2">
      <c r="B124" s="102">
        <v>2013</v>
      </c>
      <c r="C124" s="103">
        <v>567.29999999999995</v>
      </c>
      <c r="D124" s="95"/>
      <c r="E124" s="96"/>
    </row>
    <row r="125" spans="2:5" s="97" customFormat="1" ht="10" x14ac:dyDescent="0.2">
      <c r="B125" s="102">
        <v>2014</v>
      </c>
      <c r="C125" s="103">
        <v>576.1</v>
      </c>
      <c r="D125" s="95"/>
      <c r="E125" s="96"/>
    </row>
    <row r="126" spans="2:5" s="97" customFormat="1" ht="10" x14ac:dyDescent="0.2">
      <c r="B126" s="102">
        <v>2015</v>
      </c>
      <c r="C126" s="103">
        <v>556.79999999999995</v>
      </c>
      <c r="D126" s="95"/>
      <c r="E126" s="96"/>
    </row>
    <row r="127" spans="2:5" s="97" customFormat="1" ht="10" x14ac:dyDescent="0.2">
      <c r="B127" s="102">
        <v>2016</v>
      </c>
      <c r="C127" s="103">
        <v>541.70000000000005</v>
      </c>
      <c r="D127" s="95"/>
      <c r="E127" s="96"/>
    </row>
    <row r="128" spans="2:5" s="97" customFormat="1" ht="10" x14ac:dyDescent="0.2">
      <c r="B128" s="102">
        <v>2017</v>
      </c>
      <c r="C128" s="103">
        <v>567.5</v>
      </c>
      <c r="D128" s="95"/>
      <c r="E128" s="96"/>
    </row>
    <row r="129" spans="2:5" s="97" customFormat="1" ht="10" x14ac:dyDescent="0.2">
      <c r="B129" s="102">
        <v>2018</v>
      </c>
      <c r="C129" s="103">
        <v>603.1</v>
      </c>
      <c r="D129" s="95"/>
      <c r="E129" s="96"/>
    </row>
    <row r="130" spans="2:5" s="97" customFormat="1" ht="10" x14ac:dyDescent="0.2">
      <c r="B130" s="102">
        <v>2019</v>
      </c>
      <c r="C130" s="103">
        <v>607.5</v>
      </c>
      <c r="D130" s="95"/>
      <c r="E130" s="96"/>
    </row>
    <row r="131" spans="2:5" s="97" customFormat="1" ht="10" x14ac:dyDescent="0.2">
      <c r="B131" s="102">
        <v>2020</v>
      </c>
      <c r="C131" s="103">
        <v>596.20000000000005</v>
      </c>
      <c r="D131" s="95"/>
      <c r="E131" s="96"/>
    </row>
    <row r="132" spans="2:5" ht="13" thickBot="1" x14ac:dyDescent="0.3">
      <c r="B132" s="154">
        <v>2021</v>
      </c>
      <c r="C132" s="155">
        <v>708</v>
      </c>
    </row>
  </sheetData>
  <mergeCells count="3">
    <mergeCell ref="A74:F74"/>
    <mergeCell ref="A90:F90"/>
    <mergeCell ref="A94:F94"/>
  </mergeCells>
  <hyperlinks>
    <hyperlink ref="F20" r:id="rId1" xr:uid="{2A73B14F-33C4-4261-85FF-E6172F564AC5}"/>
    <hyperlink ref="F21" r:id="rId2" xr:uid="{3FB81FF7-CFBC-434B-83F9-1C8E9F574D8B}"/>
    <hyperlink ref="F95" r:id="rId3" xr:uid="{A6C4DDD8-6964-4D96-8D42-87EA51C1458E}"/>
  </hyperlinks>
  <printOptions horizontalCentered="1"/>
  <pageMargins left="0.7" right="0.7" top="0.75" bottom="0.75" header="0.3" footer="0.3"/>
  <pageSetup paperSize="3" scale="61" fitToHeight="3" orientation="landscape" horizontalDpi="1200" verticalDpi="1200" r:id="rId4"/>
  <headerFooter>
    <oddHeader>&amp;C&amp;"Tahoma,Bold"SCR Cost Analysis</oddHeader>
  </headerFooter>
  <rowBreaks count="3" manualBreakCount="3">
    <brk id="29" max="16383" man="1"/>
    <brk id="59" max="16383" man="1"/>
    <brk id="9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37F6C-AD64-4631-8930-5254592934A4}">
  <sheetPr codeName="Sheet16">
    <tabColor theme="5" tint="0.39997558519241921"/>
  </sheetPr>
  <dimension ref="A1"/>
  <sheetViews>
    <sheetView workbookViewId="0"/>
  </sheetViews>
  <sheetFormatPr defaultRowHeight="14.5" x14ac:dyDescent="0.3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D104E-6E84-4798-BEAB-5AF7A97AD2FF}">
  <sheetPr codeName="Sheet17">
    <tabColor theme="5" tint="0.39997558519241921"/>
  </sheetPr>
  <dimension ref="B1:O34"/>
  <sheetViews>
    <sheetView workbookViewId="0">
      <selection activeCell="I4" sqref="I4"/>
    </sheetView>
  </sheetViews>
  <sheetFormatPr defaultColWidth="8.7265625" defaultRowHeight="12.5" x14ac:dyDescent="0.25"/>
  <cols>
    <col min="1" max="1" width="1.7265625" style="6" customWidth="1"/>
    <col min="2" max="4" width="8.7265625" style="6" customWidth="1"/>
    <col min="5" max="15" width="9.7265625" style="6" customWidth="1"/>
    <col min="16" max="16384" width="8.7265625" style="6"/>
  </cols>
  <sheetData>
    <row r="1" spans="2:15" x14ac:dyDescent="0.25">
      <c r="B1" s="146" t="s">
        <v>332</v>
      </c>
    </row>
    <row r="3" spans="2:15" x14ac:dyDescent="0.25">
      <c r="B3" s="204" t="s">
        <v>333</v>
      </c>
      <c r="C3" s="204"/>
      <c r="D3" s="205"/>
      <c r="E3" s="203" t="s">
        <v>334</v>
      </c>
      <c r="F3" s="204"/>
      <c r="G3" s="204"/>
      <c r="H3" s="204"/>
      <c r="I3" s="204"/>
      <c r="J3" s="203" t="s">
        <v>335</v>
      </c>
      <c r="K3" s="204"/>
      <c r="L3" s="204"/>
      <c r="M3" s="204"/>
      <c r="N3" s="204"/>
      <c r="O3" s="148" t="s">
        <v>336</v>
      </c>
    </row>
    <row r="4" spans="2:15" ht="25" x14ac:dyDescent="0.25">
      <c r="B4" s="2" t="s">
        <v>337</v>
      </c>
      <c r="C4" s="2" t="s">
        <v>338</v>
      </c>
      <c r="D4" s="2" t="s">
        <v>339</v>
      </c>
      <c r="E4" s="148" t="s">
        <v>340</v>
      </c>
      <c r="F4" s="2" t="s">
        <v>341</v>
      </c>
      <c r="G4" s="149" t="s">
        <v>342</v>
      </c>
      <c r="H4" s="149" t="s">
        <v>343</v>
      </c>
      <c r="I4" s="149" t="s">
        <v>344</v>
      </c>
      <c r="J4" s="150" t="s">
        <v>345</v>
      </c>
      <c r="K4" s="149" t="s">
        <v>346</v>
      </c>
      <c r="L4" s="149" t="s">
        <v>347</v>
      </c>
      <c r="M4" s="149" t="s">
        <v>343</v>
      </c>
      <c r="N4" s="149" t="s">
        <v>344</v>
      </c>
      <c r="O4" s="148"/>
    </row>
    <row r="5" spans="2:15" ht="25" x14ac:dyDescent="0.25">
      <c r="B5" s="151"/>
      <c r="C5" s="151"/>
      <c r="D5" s="151"/>
      <c r="E5" s="152"/>
      <c r="F5" s="151"/>
      <c r="G5" s="151"/>
      <c r="H5" s="153" t="s">
        <v>348</v>
      </c>
      <c r="I5" s="151"/>
      <c r="J5" s="152"/>
      <c r="K5" s="151"/>
      <c r="L5" s="151"/>
      <c r="M5" s="153" t="s">
        <v>348</v>
      </c>
      <c r="N5" s="151"/>
      <c r="O5" s="152"/>
    </row>
    <row r="6" spans="2:15" x14ac:dyDescent="0.25">
      <c r="B6" s="2">
        <v>60</v>
      </c>
      <c r="C6" s="2">
        <v>-213</v>
      </c>
      <c r="D6" s="2">
        <v>-352</v>
      </c>
      <c r="E6" s="148">
        <v>3.3980000000000003E-2</v>
      </c>
      <c r="F6" s="2">
        <v>1.173</v>
      </c>
      <c r="G6" s="2">
        <v>3.258E-4</v>
      </c>
      <c r="H6" s="2">
        <v>0.2802</v>
      </c>
      <c r="I6" s="2">
        <v>0.22869999999999999</v>
      </c>
      <c r="J6" s="148">
        <v>5.5059999999999998E-2</v>
      </c>
      <c r="K6" s="2">
        <v>1.901</v>
      </c>
      <c r="L6" s="2">
        <v>5.2800000000000004E-4</v>
      </c>
      <c r="M6" s="2">
        <v>0.45405000000000001</v>
      </c>
      <c r="N6" s="2">
        <v>0.37070999999999998</v>
      </c>
      <c r="O6" s="148">
        <v>1.621</v>
      </c>
    </row>
    <row r="7" spans="2:15" x14ac:dyDescent="0.25">
      <c r="B7" s="2">
        <v>78.790000000000006</v>
      </c>
      <c r="C7" s="2">
        <v>-194</v>
      </c>
      <c r="D7" s="2">
        <v>-318</v>
      </c>
      <c r="E7" s="148">
        <v>3.0439999999999998E-2</v>
      </c>
      <c r="F7" s="2">
        <v>1.0509999999999999</v>
      </c>
      <c r="G7" s="2">
        <v>2.9189999999999999E-4</v>
      </c>
      <c r="H7" s="2">
        <v>0.251</v>
      </c>
      <c r="I7" s="2">
        <v>0.20499999999999999</v>
      </c>
      <c r="J7" s="148">
        <v>5.5989999999999998E-2</v>
      </c>
      <c r="K7" s="2">
        <v>1.9330000000000001</v>
      </c>
      <c r="L7" s="2">
        <v>5.3700000000000004E-4</v>
      </c>
      <c r="M7" s="2">
        <v>0.46168999999999999</v>
      </c>
      <c r="N7" s="2">
        <v>0.37695000000000001</v>
      </c>
      <c r="O7" s="148">
        <v>1.839</v>
      </c>
    </row>
    <row r="8" spans="2:15" x14ac:dyDescent="0.25">
      <c r="B8" s="2">
        <v>81.61</v>
      </c>
      <c r="C8" s="2">
        <v>-192</v>
      </c>
      <c r="D8" s="2">
        <v>-313</v>
      </c>
      <c r="E8" s="148">
        <v>2.172E-2</v>
      </c>
      <c r="F8" s="2">
        <v>0.75</v>
      </c>
      <c r="G8" s="2">
        <v>2.0829999999999999E-4</v>
      </c>
      <c r="H8" s="2">
        <v>0.17910000000000001</v>
      </c>
      <c r="I8" s="2">
        <v>0.14630000000000001</v>
      </c>
      <c r="J8" s="148">
        <v>3.1539999999999999E-2</v>
      </c>
      <c r="K8" s="2">
        <v>1.089</v>
      </c>
      <c r="L8" s="2">
        <v>3.0299999999999999E-4</v>
      </c>
      <c r="M8" s="2">
        <v>0.2601</v>
      </c>
      <c r="N8" s="2">
        <v>0.21237</v>
      </c>
      <c r="O8" s="148">
        <v>1.452</v>
      </c>
    </row>
    <row r="9" spans="2:15" x14ac:dyDescent="0.25">
      <c r="B9" s="2">
        <v>100</v>
      </c>
      <c r="C9" s="2">
        <v>-173</v>
      </c>
      <c r="D9" s="2">
        <v>-280</v>
      </c>
      <c r="E9" s="148">
        <v>2.1090000000000001E-2</v>
      </c>
      <c r="F9" s="2">
        <v>0.72799999999999998</v>
      </c>
      <c r="G9" s="2">
        <v>2.0220000000000001E-4</v>
      </c>
      <c r="H9" s="2">
        <v>0.1739</v>
      </c>
      <c r="I9" s="2">
        <v>0.14199999999999999</v>
      </c>
      <c r="J9" s="148">
        <v>3.0120000000000001E-2</v>
      </c>
      <c r="K9" s="2">
        <v>1.04</v>
      </c>
      <c r="L9" s="2">
        <v>2.8899999999999998E-4</v>
      </c>
      <c r="M9" s="2">
        <v>0.24833</v>
      </c>
      <c r="N9" s="2">
        <v>0.20276</v>
      </c>
      <c r="O9" s="148">
        <v>1.4279999999999999</v>
      </c>
    </row>
    <row r="10" spans="2:15" x14ac:dyDescent="0.25">
      <c r="B10" s="2">
        <v>120</v>
      </c>
      <c r="C10" s="2">
        <v>-153</v>
      </c>
      <c r="D10" s="2">
        <v>-244</v>
      </c>
      <c r="E10" s="148">
        <v>2.0930000000000001E-2</v>
      </c>
      <c r="F10" s="2">
        <v>0.72250000000000003</v>
      </c>
      <c r="G10" s="2">
        <v>2.007E-4</v>
      </c>
      <c r="H10" s="2">
        <v>0.1726</v>
      </c>
      <c r="I10" s="2">
        <v>0.1406</v>
      </c>
      <c r="J10" s="148">
        <v>2.9530000000000001E-2</v>
      </c>
      <c r="K10" s="2">
        <v>1.022</v>
      </c>
      <c r="L10" s="2">
        <v>2.8299999999999999E-4</v>
      </c>
      <c r="M10" s="2">
        <v>0.24349999999999999</v>
      </c>
      <c r="N10" s="2">
        <v>0.1993</v>
      </c>
      <c r="O10" s="148">
        <v>1.415</v>
      </c>
    </row>
    <row r="11" spans="2:15" x14ac:dyDescent="0.25">
      <c r="B11" s="2">
        <v>140</v>
      </c>
      <c r="C11" s="2">
        <v>-133</v>
      </c>
      <c r="D11" s="2">
        <v>-208</v>
      </c>
      <c r="E11" s="148">
        <v>2.0809999999999999E-2</v>
      </c>
      <c r="F11" s="2">
        <v>0.71840000000000004</v>
      </c>
      <c r="G11" s="2">
        <v>1.996E-4</v>
      </c>
      <c r="H11" s="2">
        <v>0.1716</v>
      </c>
      <c r="I11" s="2">
        <v>0.1401</v>
      </c>
      <c r="J11" s="148">
        <v>2.937E-2</v>
      </c>
      <c r="K11" s="2">
        <v>1.014</v>
      </c>
      <c r="L11" s="2">
        <v>2.8200000000000002E-4</v>
      </c>
      <c r="M11" s="2">
        <v>0.24218999999999999</v>
      </c>
      <c r="N11" s="2">
        <v>0.19774</v>
      </c>
      <c r="O11" s="148">
        <v>1.411</v>
      </c>
    </row>
    <row r="12" spans="2:15" x14ac:dyDescent="0.25">
      <c r="B12" s="2">
        <v>160</v>
      </c>
      <c r="C12" s="2">
        <v>-113</v>
      </c>
      <c r="D12" s="2">
        <v>-172</v>
      </c>
      <c r="E12" s="148">
        <v>2.077E-2</v>
      </c>
      <c r="F12" s="2">
        <v>0.71719999999999995</v>
      </c>
      <c r="G12" s="2">
        <v>1.9919999999999999E-4</v>
      </c>
      <c r="H12" s="2">
        <v>0.17130000000000001</v>
      </c>
      <c r="I12" s="2">
        <v>0.1399</v>
      </c>
      <c r="J12" s="148">
        <v>2.928E-2</v>
      </c>
      <c r="K12" s="2">
        <v>1.0109999999999999</v>
      </c>
      <c r="L12" s="2">
        <v>2.81E-4</v>
      </c>
      <c r="M12" s="2">
        <v>0.24146999999999999</v>
      </c>
      <c r="N12" s="2">
        <v>0.19716</v>
      </c>
      <c r="O12" s="148">
        <v>1.41</v>
      </c>
    </row>
    <row r="13" spans="2:15" x14ac:dyDescent="0.25">
      <c r="B13" s="2">
        <v>180</v>
      </c>
      <c r="C13" s="2">
        <v>-93.2</v>
      </c>
      <c r="D13" s="2">
        <v>-136</v>
      </c>
      <c r="E13" s="148">
        <v>2.0760000000000001E-2</v>
      </c>
      <c r="F13" s="2">
        <v>0.71660000000000001</v>
      </c>
      <c r="G13" s="2">
        <v>1.9909999999999999E-4</v>
      </c>
      <c r="H13" s="2">
        <v>0.17119999999999999</v>
      </c>
      <c r="I13" s="2">
        <v>0.13969999999999999</v>
      </c>
      <c r="J13" s="148">
        <v>2.92E-2</v>
      </c>
      <c r="K13" s="2">
        <v>1.008</v>
      </c>
      <c r="L13" s="2">
        <v>2.7999999999999998E-4</v>
      </c>
      <c r="M13" s="2">
        <v>0.24076</v>
      </c>
      <c r="N13" s="2">
        <v>0.19656999999999999</v>
      </c>
      <c r="O13" s="148">
        <v>1.407</v>
      </c>
    </row>
    <row r="14" spans="2:15" x14ac:dyDescent="0.25">
      <c r="B14" s="2">
        <v>200</v>
      </c>
      <c r="C14" s="2">
        <v>-73.2</v>
      </c>
      <c r="D14" s="2">
        <v>-99.7</v>
      </c>
      <c r="E14" s="148">
        <v>2.0750000000000001E-2</v>
      </c>
      <c r="F14" s="2">
        <v>0.71630000000000005</v>
      </c>
      <c r="G14" s="2">
        <v>1.9900000000000001E-4</v>
      </c>
      <c r="H14" s="2">
        <v>0.1711</v>
      </c>
      <c r="I14" s="2">
        <v>0.13969999999999999</v>
      </c>
      <c r="J14" s="148">
        <v>2.9170000000000001E-2</v>
      </c>
      <c r="K14" s="2">
        <v>1.0069999999999999</v>
      </c>
      <c r="L14" s="2">
        <v>2.7999999999999998E-4</v>
      </c>
      <c r="M14" s="2">
        <v>0.24052000000000001</v>
      </c>
      <c r="N14" s="2">
        <v>0.19638</v>
      </c>
      <c r="O14" s="148">
        <v>1.4059999999999999</v>
      </c>
    </row>
    <row r="15" spans="2:15" x14ac:dyDescent="0.25">
      <c r="B15" s="2">
        <v>220</v>
      </c>
      <c r="C15" s="2">
        <v>-53.2</v>
      </c>
      <c r="D15" s="2">
        <v>-63.7</v>
      </c>
      <c r="E15" s="148">
        <v>2.0750000000000001E-2</v>
      </c>
      <c r="F15" s="2">
        <v>0.71630000000000005</v>
      </c>
      <c r="G15" s="2">
        <v>1.9900000000000001E-4</v>
      </c>
      <c r="H15" s="2">
        <v>0.1711</v>
      </c>
      <c r="I15" s="2">
        <v>0.13969999999999999</v>
      </c>
      <c r="J15" s="148">
        <v>2.9139999999999999E-2</v>
      </c>
      <c r="K15" s="2">
        <v>1.006</v>
      </c>
      <c r="L15" s="2">
        <v>2.7900000000000001E-4</v>
      </c>
      <c r="M15" s="2">
        <v>0.24027999999999999</v>
      </c>
      <c r="N15" s="2">
        <v>0.19617999999999999</v>
      </c>
      <c r="O15" s="148">
        <v>1.4039999999999999</v>
      </c>
    </row>
    <row r="16" spans="2:15" x14ac:dyDescent="0.25">
      <c r="B16" s="2">
        <v>240</v>
      </c>
      <c r="C16" s="2">
        <v>-33.200000000000003</v>
      </c>
      <c r="D16" s="2">
        <v>-27.7</v>
      </c>
      <c r="E16" s="148">
        <v>2.0750000000000001E-2</v>
      </c>
      <c r="F16" s="2">
        <v>0.71640000000000004</v>
      </c>
      <c r="G16" s="2">
        <v>1.9900000000000001E-4</v>
      </c>
      <c r="H16" s="2">
        <v>0.1711</v>
      </c>
      <c r="I16" s="2">
        <v>0.13969999999999999</v>
      </c>
      <c r="J16" s="148">
        <v>2.9139999999999999E-2</v>
      </c>
      <c r="K16" s="2">
        <v>1.006</v>
      </c>
      <c r="L16" s="2">
        <v>2.7900000000000001E-4</v>
      </c>
      <c r="M16" s="2">
        <v>0.24027999999999999</v>
      </c>
      <c r="N16" s="2">
        <v>0.19617999999999999</v>
      </c>
      <c r="O16" s="148">
        <v>1.4039999999999999</v>
      </c>
    </row>
    <row r="17" spans="2:15" x14ac:dyDescent="0.25">
      <c r="B17" s="2">
        <v>260</v>
      </c>
      <c r="C17" s="2">
        <v>-13.2</v>
      </c>
      <c r="D17" s="2">
        <v>8.3000000000000007</v>
      </c>
      <c r="E17" s="148">
        <v>2.0760000000000001E-2</v>
      </c>
      <c r="F17" s="2">
        <v>0.71679999999999999</v>
      </c>
      <c r="G17" s="2">
        <v>1.9909999999999999E-4</v>
      </c>
      <c r="H17" s="2">
        <v>0.17119999999999999</v>
      </c>
      <c r="I17" s="2">
        <v>0.13980000000000001</v>
      </c>
      <c r="J17" s="148">
        <v>2.9139999999999999E-2</v>
      </c>
      <c r="K17" s="2">
        <v>1.006</v>
      </c>
      <c r="L17" s="2">
        <v>2.7900000000000001E-4</v>
      </c>
      <c r="M17" s="2">
        <v>0.24027999999999999</v>
      </c>
      <c r="N17" s="2">
        <v>0.19617999999999999</v>
      </c>
      <c r="O17" s="148">
        <v>1.403</v>
      </c>
    </row>
    <row r="18" spans="2:15" x14ac:dyDescent="0.25">
      <c r="B18" s="2">
        <v>273.2</v>
      </c>
      <c r="C18" s="2">
        <v>0</v>
      </c>
      <c r="D18" s="2">
        <v>32</v>
      </c>
      <c r="E18" s="148">
        <v>2.077E-2</v>
      </c>
      <c r="F18" s="2">
        <v>0.71709999999999996</v>
      </c>
      <c r="G18" s="2">
        <v>1.9919999999999999E-4</v>
      </c>
      <c r="H18" s="2">
        <v>0.17130000000000001</v>
      </c>
      <c r="I18" s="2">
        <v>0.13980000000000001</v>
      </c>
      <c r="J18" s="148">
        <v>2.9139999999999999E-2</v>
      </c>
      <c r="K18" s="2">
        <v>1.006</v>
      </c>
      <c r="L18" s="2">
        <v>2.7900000000000001E-4</v>
      </c>
      <c r="M18" s="2">
        <v>0.24027999999999999</v>
      </c>
      <c r="N18" s="2">
        <v>0.19617999999999999</v>
      </c>
      <c r="O18" s="148">
        <v>1.403</v>
      </c>
    </row>
    <row r="19" spans="2:15" x14ac:dyDescent="0.25">
      <c r="B19" s="2">
        <v>280</v>
      </c>
      <c r="C19" s="2">
        <v>6.9</v>
      </c>
      <c r="D19" s="2">
        <v>44.3</v>
      </c>
      <c r="E19" s="148">
        <v>2.078E-2</v>
      </c>
      <c r="F19" s="2">
        <v>0.71730000000000005</v>
      </c>
      <c r="G19" s="2">
        <v>1.9929999999999999E-4</v>
      </c>
      <c r="H19" s="2">
        <v>0.17130000000000001</v>
      </c>
      <c r="I19" s="2">
        <v>0.1399</v>
      </c>
      <c r="J19" s="148">
        <v>2.9139999999999999E-2</v>
      </c>
      <c r="K19" s="2">
        <v>1.006</v>
      </c>
      <c r="L19" s="2">
        <v>2.7900000000000001E-4</v>
      </c>
      <c r="M19" s="2">
        <v>0.24027999999999999</v>
      </c>
      <c r="N19" s="2">
        <v>0.19617999999999999</v>
      </c>
      <c r="O19" s="148">
        <v>1.4019999999999999</v>
      </c>
    </row>
    <row r="20" spans="2:15" x14ac:dyDescent="0.25">
      <c r="B20" s="2">
        <v>288.7</v>
      </c>
      <c r="C20" s="2">
        <v>15.6</v>
      </c>
      <c r="D20" s="2">
        <v>60</v>
      </c>
      <c r="E20" s="148">
        <v>2.078E-2</v>
      </c>
      <c r="F20" s="2">
        <v>0.71750000000000003</v>
      </c>
      <c r="G20" s="2">
        <v>1.9929999999999999E-4</v>
      </c>
      <c r="H20" s="2">
        <v>0.1714</v>
      </c>
      <c r="I20" s="2">
        <v>0.1399</v>
      </c>
      <c r="J20" s="148">
        <v>2.9139999999999999E-2</v>
      </c>
      <c r="K20" s="2">
        <v>1.006</v>
      </c>
      <c r="L20" s="2">
        <v>2.7900000000000001E-4</v>
      </c>
      <c r="M20" s="2">
        <v>0.24030000000000001</v>
      </c>
      <c r="N20" s="2">
        <v>0.19620000000000001</v>
      </c>
      <c r="O20" s="148">
        <v>1.4019999999999999</v>
      </c>
    </row>
    <row r="21" spans="2:15" x14ac:dyDescent="0.25">
      <c r="B21" s="2">
        <v>300</v>
      </c>
      <c r="C21" s="2">
        <v>26.9</v>
      </c>
      <c r="D21" s="2">
        <v>80.3</v>
      </c>
      <c r="E21" s="148">
        <v>2.0799999999999999E-2</v>
      </c>
      <c r="F21" s="2">
        <v>0.71799999999999997</v>
      </c>
      <c r="G21" s="2">
        <v>1.994E-4</v>
      </c>
      <c r="H21" s="2">
        <v>0.17150000000000001</v>
      </c>
      <c r="I21" s="2">
        <v>0.14000000000000001</v>
      </c>
      <c r="J21" s="148">
        <v>2.9149999999999999E-2</v>
      </c>
      <c r="K21" s="2">
        <v>1.006</v>
      </c>
      <c r="L21" s="2">
        <v>2.7999999999999998E-4</v>
      </c>
      <c r="M21" s="2">
        <v>0.24035999999999999</v>
      </c>
      <c r="N21" s="2">
        <v>0.19625000000000001</v>
      </c>
      <c r="O21" s="148">
        <v>1.4019999999999999</v>
      </c>
    </row>
    <row r="22" spans="2:15" x14ac:dyDescent="0.25">
      <c r="B22" s="2">
        <v>320</v>
      </c>
      <c r="C22" s="2">
        <v>46.9</v>
      </c>
      <c r="D22" s="2">
        <v>116</v>
      </c>
      <c r="E22" s="148">
        <v>2.0830000000000001E-2</v>
      </c>
      <c r="F22" s="2">
        <v>0.71919999999999995</v>
      </c>
      <c r="G22" s="2">
        <v>1.998E-4</v>
      </c>
      <c r="H22" s="2">
        <v>0.17180000000000001</v>
      </c>
      <c r="I22" s="2">
        <v>0.14030000000000001</v>
      </c>
      <c r="J22" s="148">
        <v>2.9170000000000001E-2</v>
      </c>
      <c r="K22" s="2">
        <v>1.0069999999999999</v>
      </c>
      <c r="L22" s="2">
        <v>2.7999999999999998E-4</v>
      </c>
      <c r="M22" s="2">
        <v>0.24052000000000001</v>
      </c>
      <c r="N22" s="2">
        <v>0.19638</v>
      </c>
      <c r="O22" s="148">
        <v>1.4</v>
      </c>
    </row>
    <row r="23" spans="2:15" x14ac:dyDescent="0.25">
      <c r="B23" s="2">
        <v>340</v>
      </c>
      <c r="C23" s="2">
        <v>66.900000000000006</v>
      </c>
      <c r="D23" s="2">
        <v>152</v>
      </c>
      <c r="E23" s="148">
        <v>2.087E-2</v>
      </c>
      <c r="F23" s="2">
        <v>0.72060000000000002</v>
      </c>
      <c r="G23" s="2">
        <v>2.0019999999999999E-4</v>
      </c>
      <c r="H23" s="2">
        <v>0.1721</v>
      </c>
      <c r="I23" s="2">
        <v>0.14050000000000001</v>
      </c>
      <c r="J23" s="148">
        <v>2.9229999999999999E-2</v>
      </c>
      <c r="K23" s="2">
        <v>1.0089999999999999</v>
      </c>
      <c r="L23" s="2">
        <v>2.7999999999999998E-4</v>
      </c>
      <c r="M23" s="2">
        <v>0.24099999999999999</v>
      </c>
      <c r="N23" s="2">
        <v>0.19677</v>
      </c>
      <c r="O23" s="148">
        <v>1.4</v>
      </c>
    </row>
    <row r="24" spans="2:15" x14ac:dyDescent="0.25">
      <c r="B24" s="2">
        <v>360</v>
      </c>
      <c r="C24" s="2">
        <v>86.9</v>
      </c>
      <c r="D24" s="2">
        <v>188</v>
      </c>
      <c r="E24" s="148">
        <v>2.0920000000000001E-2</v>
      </c>
      <c r="F24" s="2">
        <v>0.72230000000000005</v>
      </c>
      <c r="G24" s="2">
        <v>2.006E-4</v>
      </c>
      <c r="H24" s="2">
        <v>0.17249999999999999</v>
      </c>
      <c r="I24" s="2">
        <v>0.1409</v>
      </c>
      <c r="J24" s="148">
        <v>2.9260000000000001E-2</v>
      </c>
      <c r="K24" s="2">
        <v>1.01</v>
      </c>
      <c r="L24" s="2">
        <v>2.81E-4</v>
      </c>
      <c r="M24" s="2">
        <v>0.24123</v>
      </c>
      <c r="N24" s="2">
        <v>0.19696</v>
      </c>
      <c r="O24" s="148">
        <v>1.3979999999999999</v>
      </c>
    </row>
    <row r="25" spans="2:15" x14ac:dyDescent="0.25">
      <c r="B25" s="2">
        <v>380</v>
      </c>
      <c r="C25" s="2">
        <v>107</v>
      </c>
      <c r="D25" s="2">
        <v>224</v>
      </c>
      <c r="E25" s="148">
        <v>2.0979999999999999E-2</v>
      </c>
      <c r="F25" s="2">
        <v>0.72430000000000005</v>
      </c>
      <c r="G25" s="2">
        <v>2.0120000000000001E-4</v>
      </c>
      <c r="H25" s="2">
        <v>0.17299999999999999</v>
      </c>
      <c r="I25" s="2">
        <v>0.14119999999999999</v>
      </c>
      <c r="J25" s="148">
        <v>2.9309999999999999E-2</v>
      </c>
      <c r="K25" s="2">
        <v>1.012</v>
      </c>
      <c r="L25" s="2">
        <v>2.81E-4</v>
      </c>
      <c r="M25" s="2">
        <v>0.24171000000000001</v>
      </c>
      <c r="N25" s="2">
        <v>0.19735</v>
      </c>
      <c r="O25" s="148">
        <v>1.397</v>
      </c>
    </row>
    <row r="26" spans="2:15" x14ac:dyDescent="0.25">
      <c r="B26" s="2">
        <v>400</v>
      </c>
      <c r="C26" s="2">
        <v>127</v>
      </c>
      <c r="D26" s="2">
        <v>260</v>
      </c>
      <c r="E26" s="148">
        <v>2.1049999999999999E-2</v>
      </c>
      <c r="F26" s="2">
        <v>0.72660000000000002</v>
      </c>
      <c r="G26" s="2">
        <v>2.018E-4</v>
      </c>
      <c r="H26" s="2">
        <v>0.17349999999999999</v>
      </c>
      <c r="I26" s="2">
        <v>0.14169999999999999</v>
      </c>
      <c r="J26" s="148">
        <v>2.937E-2</v>
      </c>
      <c r="K26" s="2">
        <v>1.014</v>
      </c>
      <c r="L26" s="2">
        <v>2.8200000000000002E-4</v>
      </c>
      <c r="M26" s="2">
        <v>0.24218999999999999</v>
      </c>
      <c r="N26" s="2">
        <v>0.19774</v>
      </c>
      <c r="O26" s="148">
        <v>1.3959999999999999</v>
      </c>
    </row>
    <row r="27" spans="2:15" x14ac:dyDescent="0.25">
      <c r="B27" s="2">
        <v>500</v>
      </c>
      <c r="C27" s="2">
        <v>227</v>
      </c>
      <c r="D27" s="2">
        <v>440</v>
      </c>
      <c r="E27" s="148">
        <v>2.1499999999999998E-2</v>
      </c>
      <c r="F27" s="2">
        <v>0.74239999999999995</v>
      </c>
      <c r="G27" s="2">
        <v>2.062E-4</v>
      </c>
      <c r="H27" s="2">
        <v>0.17730000000000001</v>
      </c>
      <c r="I27" s="2">
        <v>0.14480000000000001</v>
      </c>
      <c r="J27" s="148">
        <v>2.9829999999999999E-2</v>
      </c>
      <c r="K27" s="2">
        <v>1.03</v>
      </c>
      <c r="L27" s="2">
        <v>2.8600000000000001E-4</v>
      </c>
      <c r="M27" s="2">
        <v>0.24596999999999999</v>
      </c>
      <c r="N27" s="2">
        <v>0.20083000000000001</v>
      </c>
      <c r="O27" s="148">
        <v>1.387</v>
      </c>
    </row>
    <row r="28" spans="2:15" x14ac:dyDescent="0.25">
      <c r="B28" s="2">
        <v>600</v>
      </c>
      <c r="C28" s="2">
        <v>327</v>
      </c>
      <c r="D28" s="2">
        <v>620</v>
      </c>
      <c r="E28" s="148">
        <v>2.213E-2</v>
      </c>
      <c r="F28" s="2">
        <v>0.7641</v>
      </c>
      <c r="G28" s="2">
        <v>2.1230000000000001E-4</v>
      </c>
      <c r="H28" s="2">
        <v>0.1825</v>
      </c>
      <c r="I28" s="2">
        <v>0.14899999999999999</v>
      </c>
      <c r="J28" s="148">
        <v>3.0439999999999998E-2</v>
      </c>
      <c r="K28" s="2">
        <v>1.0509999999999999</v>
      </c>
      <c r="L28" s="2">
        <v>2.92E-4</v>
      </c>
      <c r="M28" s="2">
        <v>0.25102999999999998</v>
      </c>
      <c r="N28" s="2">
        <v>0.20496</v>
      </c>
      <c r="O28" s="148">
        <v>1.375</v>
      </c>
    </row>
    <row r="29" spans="2:15" x14ac:dyDescent="0.25">
      <c r="B29" s="2">
        <v>700</v>
      </c>
      <c r="C29" s="2">
        <v>427</v>
      </c>
      <c r="D29" s="2">
        <v>800</v>
      </c>
      <c r="E29" s="148">
        <v>2.282E-2</v>
      </c>
      <c r="F29" s="2">
        <v>0.78769999999999996</v>
      </c>
      <c r="G29" s="2">
        <v>2.1880000000000001E-4</v>
      </c>
      <c r="H29" s="2">
        <v>0.18809999999999999</v>
      </c>
      <c r="I29" s="2">
        <v>0.15359999999999999</v>
      </c>
      <c r="J29" s="148">
        <v>3.1140000000000001E-2</v>
      </c>
      <c r="K29" s="2">
        <v>1.075</v>
      </c>
      <c r="L29" s="2">
        <v>2.99E-4</v>
      </c>
      <c r="M29" s="2">
        <v>0.25674999999999998</v>
      </c>
      <c r="N29" s="2">
        <v>0.20963000000000001</v>
      </c>
      <c r="O29" s="148">
        <v>1.365</v>
      </c>
    </row>
    <row r="30" spans="2:15" x14ac:dyDescent="0.25">
      <c r="B30" s="2">
        <v>800</v>
      </c>
      <c r="C30" s="2">
        <v>527</v>
      </c>
      <c r="D30" s="2">
        <v>980</v>
      </c>
      <c r="E30" s="148">
        <v>2.351E-2</v>
      </c>
      <c r="F30" s="2">
        <v>0.81169999999999998</v>
      </c>
      <c r="G30" s="2">
        <v>2.2550000000000001E-4</v>
      </c>
      <c r="H30" s="2">
        <v>0.19389999999999999</v>
      </c>
      <c r="I30" s="2">
        <v>0.1583</v>
      </c>
      <c r="J30" s="148">
        <v>3.1829999999999997E-2</v>
      </c>
      <c r="K30" s="2">
        <v>1.099</v>
      </c>
      <c r="L30" s="2">
        <v>3.0499999999999999E-4</v>
      </c>
      <c r="M30" s="2">
        <v>0.26249</v>
      </c>
      <c r="N30" s="2">
        <v>0.21432000000000001</v>
      </c>
      <c r="O30" s="148">
        <v>1.3540000000000001</v>
      </c>
    </row>
    <row r="31" spans="2:15" x14ac:dyDescent="0.25">
      <c r="B31" s="2">
        <v>900</v>
      </c>
      <c r="C31" s="2">
        <v>627</v>
      </c>
      <c r="D31" s="2">
        <v>1160</v>
      </c>
      <c r="E31" s="148">
        <v>2.4150000000000001E-2</v>
      </c>
      <c r="F31" s="2">
        <v>0.83379999999999999</v>
      </c>
      <c r="G31" s="2">
        <v>2.3159999999999999E-4</v>
      </c>
      <c r="H31" s="2">
        <v>0.1991</v>
      </c>
      <c r="I31" s="2">
        <v>0.16259999999999999</v>
      </c>
      <c r="J31" s="148">
        <v>3.2469999999999999E-2</v>
      </c>
      <c r="K31" s="2">
        <v>1.121</v>
      </c>
      <c r="L31" s="2">
        <v>3.1100000000000002E-4</v>
      </c>
      <c r="M31" s="2">
        <v>0.26772000000000001</v>
      </c>
      <c r="N31" s="2">
        <v>0.21858</v>
      </c>
      <c r="O31" s="148">
        <v>1.3440000000000001</v>
      </c>
    </row>
    <row r="32" spans="2:15" x14ac:dyDescent="0.25">
      <c r="B32" s="2">
        <v>1100</v>
      </c>
      <c r="C32" s="2">
        <v>827</v>
      </c>
      <c r="D32" s="2">
        <v>1520</v>
      </c>
      <c r="E32" s="148">
        <v>2.5250000000000002E-2</v>
      </c>
      <c r="F32" s="2">
        <v>0.87160000000000004</v>
      </c>
      <c r="G32" s="2">
        <v>2.421E-4</v>
      </c>
      <c r="H32" s="2">
        <v>0.2082</v>
      </c>
      <c r="I32" s="2">
        <v>0.17</v>
      </c>
      <c r="J32" s="148">
        <v>3.356E-2</v>
      </c>
      <c r="K32" s="2">
        <v>1.159</v>
      </c>
      <c r="L32" s="2">
        <v>3.2200000000000002E-4</v>
      </c>
      <c r="M32" s="2">
        <v>0.27675</v>
      </c>
      <c r="N32" s="2">
        <v>0.22595999999999999</v>
      </c>
      <c r="O32" s="148">
        <v>1.329</v>
      </c>
    </row>
    <row r="33" spans="2:15" x14ac:dyDescent="0.25">
      <c r="B33" s="2">
        <v>1500</v>
      </c>
      <c r="C33" s="2">
        <v>1227</v>
      </c>
      <c r="D33" s="2">
        <v>2240</v>
      </c>
      <c r="E33" s="148">
        <v>2.673E-2</v>
      </c>
      <c r="F33" s="2">
        <v>0.92300000000000004</v>
      </c>
      <c r="G33" s="2">
        <v>2.564E-4</v>
      </c>
      <c r="H33" s="2">
        <v>0.22040000000000001</v>
      </c>
      <c r="I33" s="2">
        <v>0.18</v>
      </c>
      <c r="J33" s="148">
        <v>3.5049999999999998E-2</v>
      </c>
      <c r="K33" s="2">
        <v>1.21</v>
      </c>
      <c r="L33" s="2">
        <v>3.3599999999999998E-4</v>
      </c>
      <c r="M33" s="2">
        <v>0.28900999999999999</v>
      </c>
      <c r="N33" s="2">
        <v>0.23597000000000001</v>
      </c>
      <c r="O33" s="148">
        <v>1.3109999999999999</v>
      </c>
    </row>
    <row r="34" spans="2:15" x14ac:dyDescent="0.25">
      <c r="B34" s="2">
        <v>1900</v>
      </c>
      <c r="C34" s="2">
        <v>1627</v>
      </c>
      <c r="D34" s="2">
        <v>2960</v>
      </c>
      <c r="E34" s="148">
        <v>2.7619999999999999E-2</v>
      </c>
      <c r="F34" s="2">
        <v>0.95350000000000001</v>
      </c>
      <c r="G34" s="2">
        <v>2.6489999999999999E-4</v>
      </c>
      <c r="H34" s="2">
        <v>0.22770000000000001</v>
      </c>
      <c r="I34" s="2">
        <v>0.18590000000000001</v>
      </c>
      <c r="J34" s="148">
        <v>3.5929999999999997E-2</v>
      </c>
      <c r="K34" s="2">
        <v>1.2410000000000001</v>
      </c>
      <c r="L34" s="2">
        <v>3.4499999999999998E-4</v>
      </c>
      <c r="M34" s="2">
        <v>0.29631000000000002</v>
      </c>
      <c r="N34" s="2">
        <v>0.24193000000000001</v>
      </c>
      <c r="O34" s="148">
        <v>1.3009999999999999</v>
      </c>
    </row>
  </sheetData>
  <mergeCells count="3">
    <mergeCell ref="J3:N3"/>
    <mergeCell ref="E3:I3"/>
    <mergeCell ref="B3:D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9E2AE-7F28-428A-8E2C-BBDE999AEF85}">
  <sheetPr codeName="Sheet18">
    <tabColor theme="8" tint="0.39997558519241921"/>
  </sheetPr>
  <dimension ref="A1:A3"/>
  <sheetViews>
    <sheetView workbookViewId="0"/>
  </sheetViews>
  <sheetFormatPr defaultColWidth="8.7265625" defaultRowHeight="12.5" x14ac:dyDescent="0.25"/>
  <cols>
    <col min="1" max="16384" width="8.7265625" style="6"/>
  </cols>
  <sheetData>
    <row r="1" spans="1:1" x14ac:dyDescent="0.25">
      <c r="A1" s="146" t="s">
        <v>349</v>
      </c>
    </row>
    <row r="2" spans="1:1" x14ac:dyDescent="0.25">
      <c r="A2" s="147" t="s">
        <v>350</v>
      </c>
    </row>
    <row r="3" spans="1:1" x14ac:dyDescent="0.25">
      <c r="A3" s="147" t="s">
        <v>351</v>
      </c>
    </row>
  </sheetData>
  <hyperlinks>
    <hyperlink ref="A3" r:id="rId1" xr:uid="{366D54D1-CD91-4F22-9673-7F0CB43CB396}"/>
    <hyperlink ref="A2" r:id="rId2" xr:uid="{CBBD7812-C886-4796-A029-0DC32BEF286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184C0-EBB0-49D2-8893-5E4D1770B1FC}">
  <sheetPr codeName="Sheet1">
    <tabColor theme="8" tint="0.39997558519241921"/>
  </sheetPr>
  <dimension ref="A1:L138"/>
  <sheetViews>
    <sheetView workbookViewId="0">
      <selection activeCell="A7" sqref="A7:XFD10"/>
    </sheetView>
  </sheetViews>
  <sheetFormatPr defaultRowHeight="12.5" x14ac:dyDescent="0.25"/>
  <cols>
    <col min="1" max="1" width="28.453125" style="109" customWidth="1"/>
    <col min="2" max="3" width="9.26953125" style="109" bestFit="1" customWidth="1"/>
    <col min="4" max="4" width="8.7265625" style="109"/>
    <col min="5" max="5" width="25.453125" style="109" customWidth="1"/>
    <col min="6" max="6" width="4.54296875" style="109" customWidth="1"/>
    <col min="7" max="7" width="4.26953125" style="109" customWidth="1"/>
    <col min="8" max="9" width="8.7265625" style="109"/>
    <col min="10" max="10" width="11.26953125" style="109" bestFit="1" customWidth="1"/>
    <col min="11" max="256" width="8.7265625" style="109"/>
    <col min="257" max="257" width="28.453125" style="109" customWidth="1"/>
    <col min="258" max="259" width="9.26953125" style="109" bestFit="1" customWidth="1"/>
    <col min="260" max="260" width="8.7265625" style="109"/>
    <col min="261" max="261" width="25.453125" style="109" customWidth="1"/>
    <col min="262" max="262" width="4.54296875" style="109" customWidth="1"/>
    <col min="263" max="263" width="4.26953125" style="109" customWidth="1"/>
    <col min="264" max="265" width="8.7265625" style="109"/>
    <col min="266" max="266" width="11.26953125" style="109" bestFit="1" customWidth="1"/>
    <col min="267" max="512" width="8.7265625" style="109"/>
    <col min="513" max="513" width="28.453125" style="109" customWidth="1"/>
    <col min="514" max="515" width="9.26953125" style="109" bestFit="1" customWidth="1"/>
    <col min="516" max="516" width="8.7265625" style="109"/>
    <col min="517" max="517" width="25.453125" style="109" customWidth="1"/>
    <col min="518" max="518" width="4.54296875" style="109" customWidth="1"/>
    <col min="519" max="519" width="4.26953125" style="109" customWidth="1"/>
    <col min="520" max="521" width="8.7265625" style="109"/>
    <col min="522" max="522" width="11.26953125" style="109" bestFit="1" customWidth="1"/>
    <col min="523" max="768" width="8.7265625" style="109"/>
    <col min="769" max="769" width="28.453125" style="109" customWidth="1"/>
    <col min="770" max="771" width="9.26953125" style="109" bestFit="1" customWidth="1"/>
    <col min="772" max="772" width="8.7265625" style="109"/>
    <col min="773" max="773" width="25.453125" style="109" customWidth="1"/>
    <col min="774" max="774" width="4.54296875" style="109" customWidth="1"/>
    <col min="775" max="775" width="4.26953125" style="109" customWidth="1"/>
    <col min="776" max="777" width="8.7265625" style="109"/>
    <col min="778" max="778" width="11.26953125" style="109" bestFit="1" customWidth="1"/>
    <col min="779" max="1024" width="8.7265625" style="109"/>
    <col min="1025" max="1025" width="28.453125" style="109" customWidth="1"/>
    <col min="1026" max="1027" width="9.26953125" style="109" bestFit="1" customWidth="1"/>
    <col min="1028" max="1028" width="8.7265625" style="109"/>
    <col min="1029" max="1029" width="25.453125" style="109" customWidth="1"/>
    <col min="1030" max="1030" width="4.54296875" style="109" customWidth="1"/>
    <col min="1031" max="1031" width="4.26953125" style="109" customWidth="1"/>
    <col min="1032" max="1033" width="8.7265625" style="109"/>
    <col min="1034" max="1034" width="11.26953125" style="109" bestFit="1" customWidth="1"/>
    <col min="1035" max="1280" width="8.7265625" style="109"/>
    <col min="1281" max="1281" width="28.453125" style="109" customWidth="1"/>
    <col min="1282" max="1283" width="9.26953125" style="109" bestFit="1" customWidth="1"/>
    <col min="1284" max="1284" width="8.7265625" style="109"/>
    <col min="1285" max="1285" width="25.453125" style="109" customWidth="1"/>
    <col min="1286" max="1286" width="4.54296875" style="109" customWidth="1"/>
    <col min="1287" max="1287" width="4.26953125" style="109" customWidth="1"/>
    <col min="1288" max="1289" width="8.7265625" style="109"/>
    <col min="1290" max="1290" width="11.26953125" style="109" bestFit="1" customWidth="1"/>
    <col min="1291" max="1536" width="8.7265625" style="109"/>
    <col min="1537" max="1537" width="28.453125" style="109" customWidth="1"/>
    <col min="1538" max="1539" width="9.26953125" style="109" bestFit="1" customWidth="1"/>
    <col min="1540" max="1540" width="8.7265625" style="109"/>
    <col min="1541" max="1541" width="25.453125" style="109" customWidth="1"/>
    <col min="1542" max="1542" width="4.54296875" style="109" customWidth="1"/>
    <col min="1543" max="1543" width="4.26953125" style="109" customWidth="1"/>
    <col min="1544" max="1545" width="8.7265625" style="109"/>
    <col min="1546" max="1546" width="11.26953125" style="109" bestFit="1" customWidth="1"/>
    <col min="1547" max="1792" width="8.7265625" style="109"/>
    <col min="1793" max="1793" width="28.453125" style="109" customWidth="1"/>
    <col min="1794" max="1795" width="9.26953125" style="109" bestFit="1" customWidth="1"/>
    <col min="1796" max="1796" width="8.7265625" style="109"/>
    <col min="1797" max="1797" width="25.453125" style="109" customWidth="1"/>
    <col min="1798" max="1798" width="4.54296875" style="109" customWidth="1"/>
    <col min="1799" max="1799" width="4.26953125" style="109" customWidth="1"/>
    <col min="1800" max="1801" width="8.7265625" style="109"/>
    <col min="1802" max="1802" width="11.26953125" style="109" bestFit="1" customWidth="1"/>
    <col min="1803" max="2048" width="8.7265625" style="109"/>
    <col min="2049" max="2049" width="28.453125" style="109" customWidth="1"/>
    <col min="2050" max="2051" width="9.26953125" style="109" bestFit="1" customWidth="1"/>
    <col min="2052" max="2052" width="8.7265625" style="109"/>
    <col min="2053" max="2053" width="25.453125" style="109" customWidth="1"/>
    <col min="2054" max="2054" width="4.54296875" style="109" customWidth="1"/>
    <col min="2055" max="2055" width="4.26953125" style="109" customWidth="1"/>
    <col min="2056" max="2057" width="8.7265625" style="109"/>
    <col min="2058" max="2058" width="11.26953125" style="109" bestFit="1" customWidth="1"/>
    <col min="2059" max="2304" width="8.7265625" style="109"/>
    <col min="2305" max="2305" width="28.453125" style="109" customWidth="1"/>
    <col min="2306" max="2307" width="9.26953125" style="109" bestFit="1" customWidth="1"/>
    <col min="2308" max="2308" width="8.7265625" style="109"/>
    <col min="2309" max="2309" width="25.453125" style="109" customWidth="1"/>
    <col min="2310" max="2310" width="4.54296875" style="109" customWidth="1"/>
    <col min="2311" max="2311" width="4.26953125" style="109" customWidth="1"/>
    <col min="2312" max="2313" width="8.7265625" style="109"/>
    <col min="2314" max="2314" width="11.26953125" style="109" bestFit="1" customWidth="1"/>
    <col min="2315" max="2560" width="8.7265625" style="109"/>
    <col min="2561" max="2561" width="28.453125" style="109" customWidth="1"/>
    <col min="2562" max="2563" width="9.26953125" style="109" bestFit="1" customWidth="1"/>
    <col min="2564" max="2564" width="8.7265625" style="109"/>
    <col min="2565" max="2565" width="25.453125" style="109" customWidth="1"/>
    <col min="2566" max="2566" width="4.54296875" style="109" customWidth="1"/>
    <col min="2567" max="2567" width="4.26953125" style="109" customWidth="1"/>
    <col min="2568" max="2569" width="8.7265625" style="109"/>
    <col min="2570" max="2570" width="11.26953125" style="109" bestFit="1" customWidth="1"/>
    <col min="2571" max="2816" width="8.7265625" style="109"/>
    <col min="2817" max="2817" width="28.453125" style="109" customWidth="1"/>
    <col min="2818" max="2819" width="9.26953125" style="109" bestFit="1" customWidth="1"/>
    <col min="2820" max="2820" width="8.7265625" style="109"/>
    <col min="2821" max="2821" width="25.453125" style="109" customWidth="1"/>
    <col min="2822" max="2822" width="4.54296875" style="109" customWidth="1"/>
    <col min="2823" max="2823" width="4.26953125" style="109" customWidth="1"/>
    <col min="2824" max="2825" width="8.7265625" style="109"/>
    <col min="2826" max="2826" width="11.26953125" style="109" bestFit="1" customWidth="1"/>
    <col min="2827" max="3072" width="8.7265625" style="109"/>
    <col min="3073" max="3073" width="28.453125" style="109" customWidth="1"/>
    <col min="3074" max="3075" width="9.26953125" style="109" bestFit="1" customWidth="1"/>
    <col min="3076" max="3076" width="8.7265625" style="109"/>
    <col min="3077" max="3077" width="25.453125" style="109" customWidth="1"/>
    <col min="3078" max="3078" width="4.54296875" style="109" customWidth="1"/>
    <col min="3079" max="3079" width="4.26953125" style="109" customWidth="1"/>
    <col min="3080" max="3081" width="8.7265625" style="109"/>
    <col min="3082" max="3082" width="11.26953125" style="109" bestFit="1" customWidth="1"/>
    <col min="3083" max="3328" width="8.7265625" style="109"/>
    <col min="3329" max="3329" width="28.453125" style="109" customWidth="1"/>
    <col min="3330" max="3331" width="9.26953125" style="109" bestFit="1" customWidth="1"/>
    <col min="3332" max="3332" width="8.7265625" style="109"/>
    <col min="3333" max="3333" width="25.453125" style="109" customWidth="1"/>
    <col min="3334" max="3334" width="4.54296875" style="109" customWidth="1"/>
    <col min="3335" max="3335" width="4.26953125" style="109" customWidth="1"/>
    <col min="3336" max="3337" width="8.7265625" style="109"/>
    <col min="3338" max="3338" width="11.26953125" style="109" bestFit="1" customWidth="1"/>
    <col min="3339" max="3584" width="8.7265625" style="109"/>
    <col min="3585" max="3585" width="28.453125" style="109" customWidth="1"/>
    <col min="3586" max="3587" width="9.26953125" style="109" bestFit="1" customWidth="1"/>
    <col min="3588" max="3588" width="8.7265625" style="109"/>
    <col min="3589" max="3589" width="25.453125" style="109" customWidth="1"/>
    <col min="3590" max="3590" width="4.54296875" style="109" customWidth="1"/>
    <col min="3591" max="3591" width="4.26953125" style="109" customWidth="1"/>
    <col min="3592" max="3593" width="8.7265625" style="109"/>
    <col min="3594" max="3594" width="11.26953125" style="109" bestFit="1" customWidth="1"/>
    <col min="3595" max="3840" width="8.7265625" style="109"/>
    <col min="3841" max="3841" width="28.453125" style="109" customWidth="1"/>
    <col min="3842" max="3843" width="9.26953125" style="109" bestFit="1" customWidth="1"/>
    <col min="3844" max="3844" width="8.7265625" style="109"/>
    <col min="3845" max="3845" width="25.453125" style="109" customWidth="1"/>
    <col min="3846" max="3846" width="4.54296875" style="109" customWidth="1"/>
    <col min="3847" max="3847" width="4.26953125" style="109" customWidth="1"/>
    <col min="3848" max="3849" width="8.7265625" style="109"/>
    <col min="3850" max="3850" width="11.26953125" style="109" bestFit="1" customWidth="1"/>
    <col min="3851" max="4096" width="8.7265625" style="109"/>
    <col min="4097" max="4097" width="28.453125" style="109" customWidth="1"/>
    <col min="4098" max="4099" width="9.26953125" style="109" bestFit="1" customWidth="1"/>
    <col min="4100" max="4100" width="8.7265625" style="109"/>
    <col min="4101" max="4101" width="25.453125" style="109" customWidth="1"/>
    <col min="4102" max="4102" width="4.54296875" style="109" customWidth="1"/>
    <col min="4103" max="4103" width="4.26953125" style="109" customWidth="1"/>
    <col min="4104" max="4105" width="8.7265625" style="109"/>
    <col min="4106" max="4106" width="11.26953125" style="109" bestFit="1" customWidth="1"/>
    <col min="4107" max="4352" width="8.7265625" style="109"/>
    <col min="4353" max="4353" width="28.453125" style="109" customWidth="1"/>
    <col min="4354" max="4355" width="9.26953125" style="109" bestFit="1" customWidth="1"/>
    <col min="4356" max="4356" width="8.7265625" style="109"/>
    <col min="4357" max="4357" width="25.453125" style="109" customWidth="1"/>
    <col min="4358" max="4358" width="4.54296875" style="109" customWidth="1"/>
    <col min="4359" max="4359" width="4.26953125" style="109" customWidth="1"/>
    <col min="4360" max="4361" width="8.7265625" style="109"/>
    <col min="4362" max="4362" width="11.26953125" style="109" bestFit="1" customWidth="1"/>
    <col min="4363" max="4608" width="8.7265625" style="109"/>
    <col min="4609" max="4609" width="28.453125" style="109" customWidth="1"/>
    <col min="4610" max="4611" width="9.26953125" style="109" bestFit="1" customWidth="1"/>
    <col min="4612" max="4612" width="8.7265625" style="109"/>
    <col min="4613" max="4613" width="25.453125" style="109" customWidth="1"/>
    <col min="4614" max="4614" width="4.54296875" style="109" customWidth="1"/>
    <col min="4615" max="4615" width="4.26953125" style="109" customWidth="1"/>
    <col min="4616" max="4617" width="8.7265625" style="109"/>
    <col min="4618" max="4618" width="11.26953125" style="109" bestFit="1" customWidth="1"/>
    <col min="4619" max="4864" width="8.7265625" style="109"/>
    <col min="4865" max="4865" width="28.453125" style="109" customWidth="1"/>
    <col min="4866" max="4867" width="9.26953125" style="109" bestFit="1" customWidth="1"/>
    <col min="4868" max="4868" width="8.7265625" style="109"/>
    <col min="4869" max="4869" width="25.453125" style="109" customWidth="1"/>
    <col min="4870" max="4870" width="4.54296875" style="109" customWidth="1"/>
    <col min="4871" max="4871" width="4.26953125" style="109" customWidth="1"/>
    <col min="4872" max="4873" width="8.7265625" style="109"/>
    <col min="4874" max="4874" width="11.26953125" style="109" bestFit="1" customWidth="1"/>
    <col min="4875" max="5120" width="8.7265625" style="109"/>
    <col min="5121" max="5121" width="28.453125" style="109" customWidth="1"/>
    <col min="5122" max="5123" width="9.26953125" style="109" bestFit="1" customWidth="1"/>
    <col min="5124" max="5124" width="8.7265625" style="109"/>
    <col min="5125" max="5125" width="25.453125" style="109" customWidth="1"/>
    <col min="5126" max="5126" width="4.54296875" style="109" customWidth="1"/>
    <col min="5127" max="5127" width="4.26953125" style="109" customWidth="1"/>
    <col min="5128" max="5129" width="8.7265625" style="109"/>
    <col min="5130" max="5130" width="11.26953125" style="109" bestFit="1" customWidth="1"/>
    <col min="5131" max="5376" width="8.7265625" style="109"/>
    <col min="5377" max="5377" width="28.453125" style="109" customWidth="1"/>
    <col min="5378" max="5379" width="9.26953125" style="109" bestFit="1" customWidth="1"/>
    <col min="5380" max="5380" width="8.7265625" style="109"/>
    <col min="5381" max="5381" width="25.453125" style="109" customWidth="1"/>
    <col min="5382" max="5382" width="4.54296875" style="109" customWidth="1"/>
    <col min="5383" max="5383" width="4.26953125" style="109" customWidth="1"/>
    <col min="5384" max="5385" width="8.7265625" style="109"/>
    <col min="5386" max="5386" width="11.26953125" style="109" bestFit="1" customWidth="1"/>
    <col min="5387" max="5632" width="8.7265625" style="109"/>
    <col min="5633" max="5633" width="28.453125" style="109" customWidth="1"/>
    <col min="5634" max="5635" width="9.26953125" style="109" bestFit="1" customWidth="1"/>
    <col min="5636" max="5636" width="8.7265625" style="109"/>
    <col min="5637" max="5637" width="25.453125" style="109" customWidth="1"/>
    <col min="5638" max="5638" width="4.54296875" style="109" customWidth="1"/>
    <col min="5639" max="5639" width="4.26953125" style="109" customWidth="1"/>
    <col min="5640" max="5641" width="8.7265625" style="109"/>
    <col min="5642" max="5642" width="11.26953125" style="109" bestFit="1" customWidth="1"/>
    <col min="5643" max="5888" width="8.7265625" style="109"/>
    <col min="5889" max="5889" width="28.453125" style="109" customWidth="1"/>
    <col min="5890" max="5891" width="9.26953125" style="109" bestFit="1" customWidth="1"/>
    <col min="5892" max="5892" width="8.7265625" style="109"/>
    <col min="5893" max="5893" width="25.453125" style="109" customWidth="1"/>
    <col min="5894" max="5894" width="4.54296875" style="109" customWidth="1"/>
    <col min="5895" max="5895" width="4.26953125" style="109" customWidth="1"/>
    <col min="5896" max="5897" width="8.7265625" style="109"/>
    <col min="5898" max="5898" width="11.26953125" style="109" bestFit="1" customWidth="1"/>
    <col min="5899" max="6144" width="8.7265625" style="109"/>
    <col min="6145" max="6145" width="28.453125" style="109" customWidth="1"/>
    <col min="6146" max="6147" width="9.26953125" style="109" bestFit="1" customWidth="1"/>
    <col min="6148" max="6148" width="8.7265625" style="109"/>
    <col min="6149" max="6149" width="25.453125" style="109" customWidth="1"/>
    <col min="6150" max="6150" width="4.54296875" style="109" customWidth="1"/>
    <col min="6151" max="6151" width="4.26953125" style="109" customWidth="1"/>
    <col min="6152" max="6153" width="8.7265625" style="109"/>
    <col min="6154" max="6154" width="11.26953125" style="109" bestFit="1" customWidth="1"/>
    <col min="6155" max="6400" width="8.7265625" style="109"/>
    <col min="6401" max="6401" width="28.453125" style="109" customWidth="1"/>
    <col min="6402" max="6403" width="9.26953125" style="109" bestFit="1" customWidth="1"/>
    <col min="6404" max="6404" width="8.7265625" style="109"/>
    <col min="6405" max="6405" width="25.453125" style="109" customWidth="1"/>
    <col min="6406" max="6406" width="4.54296875" style="109" customWidth="1"/>
    <col min="6407" max="6407" width="4.26953125" style="109" customWidth="1"/>
    <col min="6408" max="6409" width="8.7265625" style="109"/>
    <col min="6410" max="6410" width="11.26953125" style="109" bestFit="1" customWidth="1"/>
    <col min="6411" max="6656" width="8.7265625" style="109"/>
    <col min="6657" max="6657" width="28.453125" style="109" customWidth="1"/>
    <col min="6658" max="6659" width="9.26953125" style="109" bestFit="1" customWidth="1"/>
    <col min="6660" max="6660" width="8.7265625" style="109"/>
    <col min="6661" max="6661" width="25.453125" style="109" customWidth="1"/>
    <col min="6662" max="6662" width="4.54296875" style="109" customWidth="1"/>
    <col min="6663" max="6663" width="4.26953125" style="109" customWidth="1"/>
    <col min="6664" max="6665" width="8.7265625" style="109"/>
    <col min="6666" max="6666" width="11.26953125" style="109" bestFit="1" customWidth="1"/>
    <col min="6667" max="6912" width="8.7265625" style="109"/>
    <col min="6913" max="6913" width="28.453125" style="109" customWidth="1"/>
    <col min="6914" max="6915" width="9.26953125" style="109" bestFit="1" customWidth="1"/>
    <col min="6916" max="6916" width="8.7265625" style="109"/>
    <col min="6917" max="6917" width="25.453125" style="109" customWidth="1"/>
    <col min="6918" max="6918" width="4.54296875" style="109" customWidth="1"/>
    <col min="6919" max="6919" width="4.26953125" style="109" customWidth="1"/>
    <col min="6920" max="6921" width="8.7265625" style="109"/>
    <col min="6922" max="6922" width="11.26953125" style="109" bestFit="1" customWidth="1"/>
    <col min="6923" max="7168" width="8.7265625" style="109"/>
    <col min="7169" max="7169" width="28.453125" style="109" customWidth="1"/>
    <col min="7170" max="7171" width="9.26953125" style="109" bestFit="1" customWidth="1"/>
    <col min="7172" max="7172" width="8.7265625" style="109"/>
    <col min="7173" max="7173" width="25.453125" style="109" customWidth="1"/>
    <col min="7174" max="7174" width="4.54296875" style="109" customWidth="1"/>
    <col min="7175" max="7175" width="4.26953125" style="109" customWidth="1"/>
    <col min="7176" max="7177" width="8.7265625" style="109"/>
    <col min="7178" max="7178" width="11.26953125" style="109" bestFit="1" customWidth="1"/>
    <col min="7179" max="7424" width="8.7265625" style="109"/>
    <col min="7425" max="7425" width="28.453125" style="109" customWidth="1"/>
    <col min="7426" max="7427" width="9.26953125" style="109" bestFit="1" customWidth="1"/>
    <col min="7428" max="7428" width="8.7265625" style="109"/>
    <col min="7429" max="7429" width="25.453125" style="109" customWidth="1"/>
    <col min="7430" max="7430" width="4.54296875" style="109" customWidth="1"/>
    <col min="7431" max="7431" width="4.26953125" style="109" customWidth="1"/>
    <col min="7432" max="7433" width="8.7265625" style="109"/>
    <col min="7434" max="7434" width="11.26953125" style="109" bestFit="1" customWidth="1"/>
    <col min="7435" max="7680" width="8.7265625" style="109"/>
    <col min="7681" max="7681" width="28.453125" style="109" customWidth="1"/>
    <col min="7682" max="7683" width="9.26953125" style="109" bestFit="1" customWidth="1"/>
    <col min="7684" max="7684" width="8.7265625" style="109"/>
    <col min="7685" max="7685" width="25.453125" style="109" customWidth="1"/>
    <col min="7686" max="7686" width="4.54296875" style="109" customWidth="1"/>
    <col min="7687" max="7687" width="4.26953125" style="109" customWidth="1"/>
    <col min="7688" max="7689" width="8.7265625" style="109"/>
    <col min="7690" max="7690" width="11.26953125" style="109" bestFit="1" customWidth="1"/>
    <col min="7691" max="7936" width="8.7265625" style="109"/>
    <col min="7937" max="7937" width="28.453125" style="109" customWidth="1"/>
    <col min="7938" max="7939" width="9.26953125" style="109" bestFit="1" customWidth="1"/>
    <col min="7940" max="7940" width="8.7265625" style="109"/>
    <col min="7941" max="7941" width="25.453125" style="109" customWidth="1"/>
    <col min="7942" max="7942" width="4.54296875" style="109" customWidth="1"/>
    <col min="7943" max="7943" width="4.26953125" style="109" customWidth="1"/>
    <col min="7944" max="7945" width="8.7265625" style="109"/>
    <col min="7946" max="7946" width="11.26953125" style="109" bestFit="1" customWidth="1"/>
    <col min="7947" max="8192" width="8.7265625" style="109"/>
    <col min="8193" max="8193" width="28.453125" style="109" customWidth="1"/>
    <col min="8194" max="8195" width="9.26953125" style="109" bestFit="1" customWidth="1"/>
    <col min="8196" max="8196" width="8.7265625" style="109"/>
    <col min="8197" max="8197" width="25.453125" style="109" customWidth="1"/>
    <col min="8198" max="8198" width="4.54296875" style="109" customWidth="1"/>
    <col min="8199" max="8199" width="4.26953125" style="109" customWidth="1"/>
    <col min="8200" max="8201" width="8.7265625" style="109"/>
    <col min="8202" max="8202" width="11.26953125" style="109" bestFit="1" customWidth="1"/>
    <col min="8203" max="8448" width="8.7265625" style="109"/>
    <col min="8449" max="8449" width="28.453125" style="109" customWidth="1"/>
    <col min="8450" max="8451" width="9.26953125" style="109" bestFit="1" customWidth="1"/>
    <col min="8452" max="8452" width="8.7265625" style="109"/>
    <col min="8453" max="8453" width="25.453125" style="109" customWidth="1"/>
    <col min="8454" max="8454" width="4.54296875" style="109" customWidth="1"/>
    <col min="8455" max="8455" width="4.26953125" style="109" customWidth="1"/>
    <col min="8456" max="8457" width="8.7265625" style="109"/>
    <col min="8458" max="8458" width="11.26953125" style="109" bestFit="1" customWidth="1"/>
    <col min="8459" max="8704" width="8.7265625" style="109"/>
    <col min="8705" max="8705" width="28.453125" style="109" customWidth="1"/>
    <col min="8706" max="8707" width="9.26953125" style="109" bestFit="1" customWidth="1"/>
    <col min="8708" max="8708" width="8.7265625" style="109"/>
    <col min="8709" max="8709" width="25.453125" style="109" customWidth="1"/>
    <col min="8710" max="8710" width="4.54296875" style="109" customWidth="1"/>
    <col min="8711" max="8711" width="4.26953125" style="109" customWidth="1"/>
    <col min="8712" max="8713" width="8.7265625" style="109"/>
    <col min="8714" max="8714" width="11.26953125" style="109" bestFit="1" customWidth="1"/>
    <col min="8715" max="8960" width="8.7265625" style="109"/>
    <col min="8961" max="8961" width="28.453125" style="109" customWidth="1"/>
    <col min="8962" max="8963" width="9.26953125" style="109" bestFit="1" customWidth="1"/>
    <col min="8964" max="8964" width="8.7265625" style="109"/>
    <col min="8965" max="8965" width="25.453125" style="109" customWidth="1"/>
    <col min="8966" max="8966" width="4.54296875" style="109" customWidth="1"/>
    <col min="8967" max="8967" width="4.26953125" style="109" customWidth="1"/>
    <col min="8968" max="8969" width="8.7265625" style="109"/>
    <col min="8970" max="8970" width="11.26953125" style="109" bestFit="1" customWidth="1"/>
    <col min="8971" max="9216" width="8.7265625" style="109"/>
    <col min="9217" max="9217" width="28.453125" style="109" customWidth="1"/>
    <col min="9218" max="9219" width="9.26953125" style="109" bestFit="1" customWidth="1"/>
    <col min="9220" max="9220" width="8.7265625" style="109"/>
    <col min="9221" max="9221" width="25.453125" style="109" customWidth="1"/>
    <col min="9222" max="9222" width="4.54296875" style="109" customWidth="1"/>
    <col min="9223" max="9223" width="4.26953125" style="109" customWidth="1"/>
    <col min="9224" max="9225" width="8.7265625" style="109"/>
    <col min="9226" max="9226" width="11.26953125" style="109" bestFit="1" customWidth="1"/>
    <col min="9227" max="9472" width="8.7265625" style="109"/>
    <col min="9473" max="9473" width="28.453125" style="109" customWidth="1"/>
    <col min="9474" max="9475" width="9.26953125" style="109" bestFit="1" customWidth="1"/>
    <col min="9476" max="9476" width="8.7265625" style="109"/>
    <col min="9477" max="9477" width="25.453125" style="109" customWidth="1"/>
    <col min="9478" max="9478" width="4.54296875" style="109" customWidth="1"/>
    <col min="9479" max="9479" width="4.26953125" style="109" customWidth="1"/>
    <col min="9480" max="9481" width="8.7265625" style="109"/>
    <col min="9482" max="9482" width="11.26953125" style="109" bestFit="1" customWidth="1"/>
    <col min="9483" max="9728" width="8.7265625" style="109"/>
    <col min="9729" max="9729" width="28.453125" style="109" customWidth="1"/>
    <col min="9730" max="9731" width="9.26953125" style="109" bestFit="1" customWidth="1"/>
    <col min="9732" max="9732" width="8.7265625" style="109"/>
    <col min="9733" max="9733" width="25.453125" style="109" customWidth="1"/>
    <col min="9734" max="9734" width="4.54296875" style="109" customWidth="1"/>
    <col min="9735" max="9735" width="4.26953125" style="109" customWidth="1"/>
    <col min="9736" max="9737" width="8.7265625" style="109"/>
    <col min="9738" max="9738" width="11.26953125" style="109" bestFit="1" customWidth="1"/>
    <col min="9739" max="9984" width="8.7265625" style="109"/>
    <col min="9985" max="9985" width="28.453125" style="109" customWidth="1"/>
    <col min="9986" max="9987" width="9.26953125" style="109" bestFit="1" customWidth="1"/>
    <col min="9988" max="9988" width="8.7265625" style="109"/>
    <col min="9989" max="9989" width="25.453125" style="109" customWidth="1"/>
    <col min="9990" max="9990" width="4.54296875" style="109" customWidth="1"/>
    <col min="9991" max="9991" width="4.26953125" style="109" customWidth="1"/>
    <col min="9992" max="9993" width="8.7265625" style="109"/>
    <col min="9994" max="9994" width="11.26953125" style="109" bestFit="1" customWidth="1"/>
    <col min="9995" max="10240" width="8.7265625" style="109"/>
    <col min="10241" max="10241" width="28.453125" style="109" customWidth="1"/>
    <col min="10242" max="10243" width="9.26953125" style="109" bestFit="1" customWidth="1"/>
    <col min="10244" max="10244" width="8.7265625" style="109"/>
    <col min="10245" max="10245" width="25.453125" style="109" customWidth="1"/>
    <col min="10246" max="10246" width="4.54296875" style="109" customWidth="1"/>
    <col min="10247" max="10247" width="4.26953125" style="109" customWidth="1"/>
    <col min="10248" max="10249" width="8.7265625" style="109"/>
    <col min="10250" max="10250" width="11.26953125" style="109" bestFit="1" customWidth="1"/>
    <col min="10251" max="10496" width="8.7265625" style="109"/>
    <col min="10497" max="10497" width="28.453125" style="109" customWidth="1"/>
    <col min="10498" max="10499" width="9.26953125" style="109" bestFit="1" customWidth="1"/>
    <col min="10500" max="10500" width="8.7265625" style="109"/>
    <col min="10501" max="10501" width="25.453125" style="109" customWidth="1"/>
    <col min="10502" max="10502" width="4.54296875" style="109" customWidth="1"/>
    <col min="10503" max="10503" width="4.26953125" style="109" customWidth="1"/>
    <col min="10504" max="10505" width="8.7265625" style="109"/>
    <col min="10506" max="10506" width="11.26953125" style="109" bestFit="1" customWidth="1"/>
    <col min="10507" max="10752" width="8.7265625" style="109"/>
    <col min="10753" max="10753" width="28.453125" style="109" customWidth="1"/>
    <col min="10754" max="10755" width="9.26953125" style="109" bestFit="1" customWidth="1"/>
    <col min="10756" max="10756" width="8.7265625" style="109"/>
    <col min="10757" max="10757" width="25.453125" style="109" customWidth="1"/>
    <col min="10758" max="10758" width="4.54296875" style="109" customWidth="1"/>
    <col min="10759" max="10759" width="4.26953125" style="109" customWidth="1"/>
    <col min="10760" max="10761" width="8.7265625" style="109"/>
    <col min="10762" max="10762" width="11.26953125" style="109" bestFit="1" customWidth="1"/>
    <col min="10763" max="11008" width="8.7265625" style="109"/>
    <col min="11009" max="11009" width="28.453125" style="109" customWidth="1"/>
    <col min="11010" max="11011" width="9.26953125" style="109" bestFit="1" customWidth="1"/>
    <col min="11012" max="11012" width="8.7265625" style="109"/>
    <col min="11013" max="11013" width="25.453125" style="109" customWidth="1"/>
    <col min="11014" max="11014" width="4.54296875" style="109" customWidth="1"/>
    <col min="11015" max="11015" width="4.26953125" style="109" customWidth="1"/>
    <col min="11016" max="11017" width="8.7265625" style="109"/>
    <col min="11018" max="11018" width="11.26953125" style="109" bestFit="1" customWidth="1"/>
    <col min="11019" max="11264" width="8.7265625" style="109"/>
    <col min="11265" max="11265" width="28.453125" style="109" customWidth="1"/>
    <col min="11266" max="11267" width="9.26953125" style="109" bestFit="1" customWidth="1"/>
    <col min="11268" max="11268" width="8.7265625" style="109"/>
    <col min="11269" max="11269" width="25.453125" style="109" customWidth="1"/>
    <col min="11270" max="11270" width="4.54296875" style="109" customWidth="1"/>
    <col min="11271" max="11271" width="4.26953125" style="109" customWidth="1"/>
    <col min="11272" max="11273" width="8.7265625" style="109"/>
    <col min="11274" max="11274" width="11.26953125" style="109" bestFit="1" customWidth="1"/>
    <col min="11275" max="11520" width="8.7265625" style="109"/>
    <col min="11521" max="11521" width="28.453125" style="109" customWidth="1"/>
    <col min="11522" max="11523" width="9.26953125" style="109" bestFit="1" customWidth="1"/>
    <col min="11524" max="11524" width="8.7265625" style="109"/>
    <col min="11525" max="11525" width="25.453125" style="109" customWidth="1"/>
    <col min="11526" max="11526" width="4.54296875" style="109" customWidth="1"/>
    <col min="11527" max="11527" width="4.26953125" style="109" customWidth="1"/>
    <col min="11528" max="11529" width="8.7265625" style="109"/>
    <col min="11530" max="11530" width="11.26953125" style="109" bestFit="1" customWidth="1"/>
    <col min="11531" max="11776" width="8.7265625" style="109"/>
    <col min="11777" max="11777" width="28.453125" style="109" customWidth="1"/>
    <col min="11778" max="11779" width="9.26953125" style="109" bestFit="1" customWidth="1"/>
    <col min="11780" max="11780" width="8.7265625" style="109"/>
    <col min="11781" max="11781" width="25.453125" style="109" customWidth="1"/>
    <col min="11782" max="11782" width="4.54296875" style="109" customWidth="1"/>
    <col min="11783" max="11783" width="4.26953125" style="109" customWidth="1"/>
    <col min="11784" max="11785" width="8.7265625" style="109"/>
    <col min="11786" max="11786" width="11.26953125" style="109" bestFit="1" customWidth="1"/>
    <col min="11787" max="12032" width="8.7265625" style="109"/>
    <col min="12033" max="12033" width="28.453125" style="109" customWidth="1"/>
    <col min="12034" max="12035" width="9.26953125" style="109" bestFit="1" customWidth="1"/>
    <col min="12036" max="12036" width="8.7265625" style="109"/>
    <col min="12037" max="12037" width="25.453125" style="109" customWidth="1"/>
    <col min="12038" max="12038" width="4.54296875" style="109" customWidth="1"/>
    <col min="12039" max="12039" width="4.26953125" style="109" customWidth="1"/>
    <col min="12040" max="12041" width="8.7265625" style="109"/>
    <col min="12042" max="12042" width="11.26953125" style="109" bestFit="1" customWidth="1"/>
    <col min="12043" max="12288" width="8.7265625" style="109"/>
    <col min="12289" max="12289" width="28.453125" style="109" customWidth="1"/>
    <col min="12290" max="12291" width="9.26953125" style="109" bestFit="1" customWidth="1"/>
    <col min="12292" max="12292" width="8.7265625" style="109"/>
    <col min="12293" max="12293" width="25.453125" style="109" customWidth="1"/>
    <col min="12294" max="12294" width="4.54296875" style="109" customWidth="1"/>
    <col min="12295" max="12295" width="4.26953125" style="109" customWidth="1"/>
    <col min="12296" max="12297" width="8.7265625" style="109"/>
    <col min="12298" max="12298" width="11.26953125" style="109" bestFit="1" customWidth="1"/>
    <col min="12299" max="12544" width="8.7265625" style="109"/>
    <col min="12545" max="12545" width="28.453125" style="109" customWidth="1"/>
    <col min="12546" max="12547" width="9.26953125" style="109" bestFit="1" customWidth="1"/>
    <col min="12548" max="12548" width="8.7265625" style="109"/>
    <col min="12549" max="12549" width="25.453125" style="109" customWidth="1"/>
    <col min="12550" max="12550" width="4.54296875" style="109" customWidth="1"/>
    <col min="12551" max="12551" width="4.26953125" style="109" customWidth="1"/>
    <col min="12552" max="12553" width="8.7265625" style="109"/>
    <col min="12554" max="12554" width="11.26953125" style="109" bestFit="1" customWidth="1"/>
    <col min="12555" max="12800" width="8.7265625" style="109"/>
    <col min="12801" max="12801" width="28.453125" style="109" customWidth="1"/>
    <col min="12802" max="12803" width="9.26953125" style="109" bestFit="1" customWidth="1"/>
    <col min="12804" max="12804" width="8.7265625" style="109"/>
    <col min="12805" max="12805" width="25.453125" style="109" customWidth="1"/>
    <col min="12806" max="12806" width="4.54296875" style="109" customWidth="1"/>
    <col min="12807" max="12807" width="4.26953125" style="109" customWidth="1"/>
    <col min="12808" max="12809" width="8.7265625" style="109"/>
    <col min="12810" max="12810" width="11.26953125" style="109" bestFit="1" customWidth="1"/>
    <col min="12811" max="13056" width="8.7265625" style="109"/>
    <col min="13057" max="13057" width="28.453125" style="109" customWidth="1"/>
    <col min="13058" max="13059" width="9.26953125" style="109" bestFit="1" customWidth="1"/>
    <col min="13060" max="13060" width="8.7265625" style="109"/>
    <col min="13061" max="13061" width="25.453125" style="109" customWidth="1"/>
    <col min="13062" max="13062" width="4.54296875" style="109" customWidth="1"/>
    <col min="13063" max="13063" width="4.26953125" style="109" customWidth="1"/>
    <col min="13064" max="13065" width="8.7265625" style="109"/>
    <col min="13066" max="13066" width="11.26953125" style="109" bestFit="1" customWidth="1"/>
    <col min="13067" max="13312" width="8.7265625" style="109"/>
    <col min="13313" max="13313" width="28.453125" style="109" customWidth="1"/>
    <col min="13314" max="13315" width="9.26953125" style="109" bestFit="1" customWidth="1"/>
    <col min="13316" max="13316" width="8.7265625" style="109"/>
    <col min="13317" max="13317" width="25.453125" style="109" customWidth="1"/>
    <col min="13318" max="13318" width="4.54296875" style="109" customWidth="1"/>
    <col min="13319" max="13319" width="4.26953125" style="109" customWidth="1"/>
    <col min="13320" max="13321" width="8.7265625" style="109"/>
    <col min="13322" max="13322" width="11.26953125" style="109" bestFit="1" customWidth="1"/>
    <col min="13323" max="13568" width="8.7265625" style="109"/>
    <col min="13569" max="13569" width="28.453125" style="109" customWidth="1"/>
    <col min="13570" max="13571" width="9.26953125" style="109" bestFit="1" customWidth="1"/>
    <col min="13572" max="13572" width="8.7265625" style="109"/>
    <col min="13573" max="13573" width="25.453125" style="109" customWidth="1"/>
    <col min="13574" max="13574" width="4.54296875" style="109" customWidth="1"/>
    <col min="13575" max="13575" width="4.26953125" style="109" customWidth="1"/>
    <col min="13576" max="13577" width="8.7265625" style="109"/>
    <col min="13578" max="13578" width="11.26953125" style="109" bestFit="1" customWidth="1"/>
    <col min="13579" max="13824" width="8.7265625" style="109"/>
    <col min="13825" max="13825" width="28.453125" style="109" customWidth="1"/>
    <col min="13826" max="13827" width="9.26953125" style="109" bestFit="1" customWidth="1"/>
    <col min="13828" max="13828" width="8.7265625" style="109"/>
    <col min="13829" max="13829" width="25.453125" style="109" customWidth="1"/>
    <col min="13830" max="13830" width="4.54296875" style="109" customWidth="1"/>
    <col min="13831" max="13831" width="4.26953125" style="109" customWidth="1"/>
    <col min="13832" max="13833" width="8.7265625" style="109"/>
    <col min="13834" max="13834" width="11.26953125" style="109" bestFit="1" customWidth="1"/>
    <col min="13835" max="14080" width="8.7265625" style="109"/>
    <col min="14081" max="14081" width="28.453125" style="109" customWidth="1"/>
    <col min="14082" max="14083" width="9.26953125" style="109" bestFit="1" customWidth="1"/>
    <col min="14084" max="14084" width="8.7265625" style="109"/>
    <col min="14085" max="14085" width="25.453125" style="109" customWidth="1"/>
    <col min="14086" max="14086" width="4.54296875" style="109" customWidth="1"/>
    <col min="14087" max="14087" width="4.26953125" style="109" customWidth="1"/>
    <col min="14088" max="14089" width="8.7265625" style="109"/>
    <col min="14090" max="14090" width="11.26953125" style="109" bestFit="1" customWidth="1"/>
    <col min="14091" max="14336" width="8.7265625" style="109"/>
    <col min="14337" max="14337" width="28.453125" style="109" customWidth="1"/>
    <col min="14338" max="14339" width="9.26953125" style="109" bestFit="1" customWidth="1"/>
    <col min="14340" max="14340" width="8.7265625" style="109"/>
    <col min="14341" max="14341" width="25.453125" style="109" customWidth="1"/>
    <col min="14342" max="14342" width="4.54296875" style="109" customWidth="1"/>
    <col min="14343" max="14343" width="4.26953125" style="109" customWidth="1"/>
    <col min="14344" max="14345" width="8.7265625" style="109"/>
    <col min="14346" max="14346" width="11.26953125" style="109" bestFit="1" customWidth="1"/>
    <col min="14347" max="14592" width="8.7265625" style="109"/>
    <col min="14593" max="14593" width="28.453125" style="109" customWidth="1"/>
    <col min="14594" max="14595" width="9.26953125" style="109" bestFit="1" customWidth="1"/>
    <col min="14596" max="14596" width="8.7265625" style="109"/>
    <col min="14597" max="14597" width="25.453125" style="109" customWidth="1"/>
    <col min="14598" max="14598" width="4.54296875" style="109" customWidth="1"/>
    <col min="14599" max="14599" width="4.26953125" style="109" customWidth="1"/>
    <col min="14600" max="14601" width="8.7265625" style="109"/>
    <col min="14602" max="14602" width="11.26953125" style="109" bestFit="1" customWidth="1"/>
    <col min="14603" max="14848" width="8.7265625" style="109"/>
    <col min="14849" max="14849" width="28.453125" style="109" customWidth="1"/>
    <col min="14850" max="14851" width="9.26953125" style="109" bestFit="1" customWidth="1"/>
    <col min="14852" max="14852" width="8.7265625" style="109"/>
    <col min="14853" max="14853" width="25.453125" style="109" customWidth="1"/>
    <col min="14854" max="14854" width="4.54296875" style="109" customWidth="1"/>
    <col min="14855" max="14855" width="4.26953125" style="109" customWidth="1"/>
    <col min="14856" max="14857" width="8.7265625" style="109"/>
    <col min="14858" max="14858" width="11.26953125" style="109" bestFit="1" customWidth="1"/>
    <col min="14859" max="15104" width="8.7265625" style="109"/>
    <col min="15105" max="15105" width="28.453125" style="109" customWidth="1"/>
    <col min="15106" max="15107" width="9.26953125" style="109" bestFit="1" customWidth="1"/>
    <col min="15108" max="15108" width="8.7265625" style="109"/>
    <col min="15109" max="15109" width="25.453125" style="109" customWidth="1"/>
    <col min="15110" max="15110" width="4.54296875" style="109" customWidth="1"/>
    <col min="15111" max="15111" width="4.26953125" style="109" customWidth="1"/>
    <col min="15112" max="15113" width="8.7265625" style="109"/>
    <col min="15114" max="15114" width="11.26953125" style="109" bestFit="1" customWidth="1"/>
    <col min="15115" max="15360" width="8.7265625" style="109"/>
    <col min="15361" max="15361" width="28.453125" style="109" customWidth="1"/>
    <col min="15362" max="15363" width="9.26953125" style="109" bestFit="1" customWidth="1"/>
    <col min="15364" max="15364" width="8.7265625" style="109"/>
    <col min="15365" max="15365" width="25.453125" style="109" customWidth="1"/>
    <col min="15366" max="15366" width="4.54296875" style="109" customWidth="1"/>
    <col min="15367" max="15367" width="4.26953125" style="109" customWidth="1"/>
    <col min="15368" max="15369" width="8.7265625" style="109"/>
    <col min="15370" max="15370" width="11.26953125" style="109" bestFit="1" customWidth="1"/>
    <col min="15371" max="15616" width="8.7265625" style="109"/>
    <col min="15617" max="15617" width="28.453125" style="109" customWidth="1"/>
    <col min="15618" max="15619" width="9.26953125" style="109" bestFit="1" customWidth="1"/>
    <col min="15620" max="15620" width="8.7265625" style="109"/>
    <col min="15621" max="15621" width="25.453125" style="109" customWidth="1"/>
    <col min="15622" max="15622" width="4.54296875" style="109" customWidth="1"/>
    <col min="15623" max="15623" width="4.26953125" style="109" customWidth="1"/>
    <col min="15624" max="15625" width="8.7265625" style="109"/>
    <col min="15626" max="15626" width="11.26953125" style="109" bestFit="1" customWidth="1"/>
    <col min="15627" max="15872" width="8.7265625" style="109"/>
    <col min="15873" max="15873" width="28.453125" style="109" customWidth="1"/>
    <col min="15874" max="15875" width="9.26953125" style="109" bestFit="1" customWidth="1"/>
    <col min="15876" max="15876" width="8.7265625" style="109"/>
    <col min="15877" max="15877" width="25.453125" style="109" customWidth="1"/>
    <col min="15878" max="15878" width="4.54296875" style="109" customWidth="1"/>
    <col min="15879" max="15879" width="4.26953125" style="109" customWidth="1"/>
    <col min="15880" max="15881" width="8.7265625" style="109"/>
    <col min="15882" max="15882" width="11.26953125" style="109" bestFit="1" customWidth="1"/>
    <col min="15883" max="16128" width="8.7265625" style="109"/>
    <col min="16129" max="16129" width="28.453125" style="109" customWidth="1"/>
    <col min="16130" max="16131" width="9.26953125" style="109" bestFit="1" customWidth="1"/>
    <col min="16132" max="16132" width="8.7265625" style="109"/>
    <col min="16133" max="16133" width="25.453125" style="109" customWidth="1"/>
    <col min="16134" max="16134" width="4.54296875" style="109" customWidth="1"/>
    <col min="16135" max="16135" width="4.26953125" style="109" customWidth="1"/>
    <col min="16136" max="16137" width="8.7265625" style="109"/>
    <col min="16138" max="16138" width="11.26953125" style="109" bestFit="1" customWidth="1"/>
    <col min="16139" max="16384" width="8.7265625" style="109"/>
  </cols>
  <sheetData>
    <row r="1" spans="1:10" x14ac:dyDescent="0.25">
      <c r="A1" s="109" t="s">
        <v>352</v>
      </c>
      <c r="H1" s="109" t="s">
        <v>353</v>
      </c>
      <c r="J1" s="110">
        <v>39148</v>
      </c>
    </row>
    <row r="2" spans="1:10" x14ac:dyDescent="0.25">
      <c r="B2" s="111" t="s">
        <v>354</v>
      </c>
    </row>
    <row r="3" spans="1:10" x14ac:dyDescent="0.25">
      <c r="B3" s="111" t="s">
        <v>355</v>
      </c>
    </row>
    <row r="4" spans="1:10" x14ac:dyDescent="0.25">
      <c r="B4" s="111" t="s">
        <v>356</v>
      </c>
    </row>
    <row r="5" spans="1:10" x14ac:dyDescent="0.25">
      <c r="B5" s="111" t="s">
        <v>357</v>
      </c>
      <c r="J5" s="112"/>
    </row>
    <row r="7" spans="1:10" x14ac:dyDescent="0.25">
      <c r="A7" s="109" t="s">
        <v>358</v>
      </c>
    </row>
    <row r="8" spans="1:10" x14ac:dyDescent="0.25">
      <c r="A8" s="109" t="s">
        <v>359</v>
      </c>
    </row>
    <row r="9" spans="1:10" ht="15.5" x14ac:dyDescent="0.4">
      <c r="A9" s="109" t="s">
        <v>360</v>
      </c>
    </row>
    <row r="10" spans="1:10" x14ac:dyDescent="0.25">
      <c r="A10" s="109" t="s">
        <v>361</v>
      </c>
    </row>
    <row r="12" spans="1:10" x14ac:dyDescent="0.25">
      <c r="A12" s="109" t="s">
        <v>362</v>
      </c>
    </row>
    <row r="14" spans="1:10" x14ac:dyDescent="0.25">
      <c r="A14" s="113" t="s">
        <v>363</v>
      </c>
      <c r="C14" s="114" t="s">
        <v>364</v>
      </c>
      <c r="D14" s="114" t="s">
        <v>365</v>
      </c>
    </row>
    <row r="15" spans="1:10" x14ac:dyDescent="0.25">
      <c r="A15" s="109" t="s">
        <v>366</v>
      </c>
      <c r="C15" s="115">
        <v>0</v>
      </c>
      <c r="D15" s="115">
        <v>0</v>
      </c>
    </row>
    <row r="16" spans="1:10" ht="15.5" x14ac:dyDescent="0.4">
      <c r="A16" s="109" t="s">
        <v>367</v>
      </c>
      <c r="C16" s="115">
        <v>0</v>
      </c>
      <c r="D16" s="115">
        <v>0</v>
      </c>
    </row>
    <row r="17" spans="1:12" ht="15.5" x14ac:dyDescent="0.4">
      <c r="A17" s="109" t="s">
        <v>368</v>
      </c>
      <c r="C17" s="115">
        <v>0</v>
      </c>
      <c r="D17" s="115">
        <v>1</v>
      </c>
    </row>
    <row r="18" spans="1:12" x14ac:dyDescent="0.25">
      <c r="A18" s="109" t="s">
        <v>369</v>
      </c>
      <c r="C18" s="115">
        <v>0</v>
      </c>
      <c r="D18" s="115">
        <v>0</v>
      </c>
    </row>
    <row r="19" spans="1:12" x14ac:dyDescent="0.25">
      <c r="A19" s="109" t="s">
        <v>370</v>
      </c>
      <c r="C19" s="115">
        <v>0</v>
      </c>
      <c r="D19" s="115">
        <v>0</v>
      </c>
    </row>
    <row r="20" spans="1:12" ht="15.5" x14ac:dyDescent="0.4">
      <c r="A20" s="109" t="s">
        <v>371</v>
      </c>
      <c r="C20" s="115"/>
      <c r="D20" s="115">
        <v>0</v>
      </c>
    </row>
    <row r="21" spans="1:12" ht="15.5" x14ac:dyDescent="0.4">
      <c r="A21" s="109" t="s">
        <v>372</v>
      </c>
      <c r="C21" s="115"/>
      <c r="D21" s="115">
        <v>1</v>
      </c>
    </row>
    <row r="22" spans="1:12" x14ac:dyDescent="0.25">
      <c r="A22" s="109" t="s">
        <v>373</v>
      </c>
      <c r="C22" s="115"/>
      <c r="D22" s="115">
        <v>0</v>
      </c>
    </row>
    <row r="24" spans="1:12" x14ac:dyDescent="0.25">
      <c r="A24" s="113" t="s">
        <v>374</v>
      </c>
    </row>
    <row r="25" spans="1:12" x14ac:dyDescent="0.25">
      <c r="A25" s="109" t="s">
        <v>375</v>
      </c>
      <c r="D25" s="115">
        <v>0</v>
      </c>
      <c r="F25" s="116"/>
      <c r="G25" s="116"/>
      <c r="H25" s="116"/>
      <c r="I25" s="116"/>
      <c r="J25" s="116"/>
      <c r="K25" s="116"/>
      <c r="L25" s="116"/>
    </row>
    <row r="26" spans="1:12" x14ac:dyDescent="0.25">
      <c r="A26" s="109" t="s">
        <v>376</v>
      </c>
      <c r="D26" s="115">
        <v>1</v>
      </c>
    </row>
    <row r="27" spans="1:12" x14ac:dyDescent="0.25">
      <c r="A27" s="109" t="s">
        <v>377</v>
      </c>
      <c r="D27" s="115">
        <v>0</v>
      </c>
    </row>
    <row r="28" spans="1:12" x14ac:dyDescent="0.25">
      <c r="A28" s="109" t="s">
        <v>378</v>
      </c>
      <c r="D28" s="115">
        <v>0</v>
      </c>
    </row>
    <row r="29" spans="1:12" x14ac:dyDescent="0.25">
      <c r="A29" s="109" t="s">
        <v>379</v>
      </c>
      <c r="D29" s="115">
        <v>0</v>
      </c>
    </row>
    <row r="31" spans="1:12" x14ac:dyDescent="0.25">
      <c r="A31" s="113" t="s">
        <v>380</v>
      </c>
    </row>
    <row r="32" spans="1:12" x14ac:dyDescent="0.25">
      <c r="A32" s="109" t="s">
        <v>381</v>
      </c>
      <c r="D32" s="115">
        <v>0</v>
      </c>
    </row>
    <row r="33" spans="1:8" x14ac:dyDescent="0.25">
      <c r="A33" s="109" t="s">
        <v>382</v>
      </c>
      <c r="D33" s="115">
        <v>0</v>
      </c>
    </row>
    <row r="34" spans="1:8" x14ac:dyDescent="0.25">
      <c r="D34" s="115"/>
    </row>
    <row r="35" spans="1:8" x14ac:dyDescent="0.25">
      <c r="A35" s="109" t="s">
        <v>383</v>
      </c>
    </row>
    <row r="37" spans="1:8" x14ac:dyDescent="0.25">
      <c r="A37" s="109" t="s">
        <v>384</v>
      </c>
    </row>
    <row r="38" spans="1:8" x14ac:dyDescent="0.25">
      <c r="A38" s="109" t="s">
        <v>385</v>
      </c>
      <c r="F38" s="115" t="s">
        <v>386</v>
      </c>
    </row>
    <row r="39" spans="1:8" x14ac:dyDescent="0.25">
      <c r="A39" s="109" t="s">
        <v>387</v>
      </c>
      <c r="F39" s="115" t="s">
        <v>388</v>
      </c>
    </row>
    <row r="40" spans="1:8" x14ac:dyDescent="0.25">
      <c r="A40" s="109" t="s">
        <v>389</v>
      </c>
      <c r="F40" s="115" t="s">
        <v>388</v>
      </c>
    </row>
    <row r="41" spans="1:8" x14ac:dyDescent="0.25">
      <c r="A41" s="109" t="s">
        <v>390</v>
      </c>
      <c r="F41" s="115"/>
    </row>
    <row r="42" spans="1:8" x14ac:dyDescent="0.25">
      <c r="A42" s="109" t="s">
        <v>385</v>
      </c>
      <c r="F42" s="115" t="s">
        <v>386</v>
      </c>
    </row>
    <row r="43" spans="1:8" x14ac:dyDescent="0.25">
      <c r="A43" s="109" t="s">
        <v>387</v>
      </c>
      <c r="F43" s="115" t="s">
        <v>388</v>
      </c>
      <c r="G43" s="109" t="s">
        <v>391</v>
      </c>
    </row>
    <row r="44" spans="1:8" x14ac:dyDescent="0.25">
      <c r="A44" s="109" t="s">
        <v>392</v>
      </c>
      <c r="F44" s="115" t="s">
        <v>388</v>
      </c>
      <c r="H44" s="116"/>
    </row>
    <row r="45" spans="1:8" x14ac:dyDescent="0.25">
      <c r="A45" s="109" t="s">
        <v>393</v>
      </c>
      <c r="F45" s="115">
        <v>0</v>
      </c>
    </row>
    <row r="46" spans="1:8" x14ac:dyDescent="0.25">
      <c r="A46" s="109" t="s">
        <v>394</v>
      </c>
      <c r="F46" s="115">
        <v>0</v>
      </c>
    </row>
    <row r="47" spans="1:8" x14ac:dyDescent="0.25">
      <c r="A47" s="109" t="s">
        <v>395</v>
      </c>
      <c r="F47" s="115" t="s">
        <v>27</v>
      </c>
      <c r="G47" s="116"/>
    </row>
    <row r="48" spans="1:8" x14ac:dyDescent="0.25">
      <c r="A48" s="109" t="s">
        <v>396</v>
      </c>
      <c r="F48" s="115" t="s">
        <v>386</v>
      </c>
    </row>
    <row r="49" spans="1:11" x14ac:dyDescent="0.25">
      <c r="A49" s="109" t="s">
        <v>397</v>
      </c>
      <c r="F49" s="115" t="s">
        <v>386</v>
      </c>
    </row>
    <row r="50" spans="1:11" x14ac:dyDescent="0.25">
      <c r="A50" s="109" t="s">
        <v>398</v>
      </c>
      <c r="F50" s="115" t="s">
        <v>399</v>
      </c>
    </row>
    <row r="51" spans="1:11" x14ac:dyDescent="0.25">
      <c r="F51" s="115"/>
    </row>
    <row r="52" spans="1:11" x14ac:dyDescent="0.25">
      <c r="A52" s="109" t="s">
        <v>400</v>
      </c>
      <c r="C52" s="115"/>
    </row>
    <row r="56" spans="1:11" x14ac:dyDescent="0.25">
      <c r="A56" s="109" t="s">
        <v>401</v>
      </c>
    </row>
    <row r="59" spans="1:11" x14ac:dyDescent="0.25">
      <c r="A59" s="109" t="s">
        <v>402</v>
      </c>
    </row>
    <row r="60" spans="1:11" x14ac:dyDescent="0.25">
      <c r="K60" s="109" t="s">
        <v>403</v>
      </c>
    </row>
    <row r="61" spans="1:11" x14ac:dyDescent="0.25">
      <c r="A61" s="109" t="s">
        <v>404</v>
      </c>
      <c r="K61" s="109" t="s">
        <v>405</v>
      </c>
    </row>
    <row r="62" spans="1:11" x14ac:dyDescent="0.25">
      <c r="A62" s="109" t="s">
        <v>406</v>
      </c>
      <c r="B62" s="115">
        <v>30</v>
      </c>
      <c r="K62" s="109">
        <v>30</v>
      </c>
    </row>
    <row r="63" spans="1:11" x14ac:dyDescent="0.25">
      <c r="A63" s="109" t="s">
        <v>407</v>
      </c>
      <c r="B63" s="115">
        <v>18</v>
      </c>
      <c r="K63" s="109">
        <v>18</v>
      </c>
    </row>
    <row r="64" spans="1:11" x14ac:dyDescent="0.25">
      <c r="A64" s="109" t="s">
        <v>408</v>
      </c>
      <c r="B64" s="115">
        <v>27</v>
      </c>
      <c r="K64" s="109">
        <v>27</v>
      </c>
    </row>
    <row r="65" spans="1:11" x14ac:dyDescent="0.25">
      <c r="A65" s="109" t="s">
        <v>409</v>
      </c>
      <c r="B65" s="115">
        <v>21</v>
      </c>
      <c r="K65" s="109">
        <v>21</v>
      </c>
    </row>
    <row r="66" spans="1:11" x14ac:dyDescent="0.25">
      <c r="A66" s="109" t="s">
        <v>410</v>
      </c>
      <c r="B66" s="115"/>
    </row>
    <row r="67" spans="1:11" x14ac:dyDescent="0.25">
      <c r="A67" s="109" t="s">
        <v>406</v>
      </c>
      <c r="B67" s="115">
        <v>0.6</v>
      </c>
      <c r="K67" s="109">
        <v>0.6</v>
      </c>
    </row>
    <row r="68" spans="1:11" x14ac:dyDescent="0.25">
      <c r="A68" s="109" t="s">
        <v>407</v>
      </c>
      <c r="B68" s="115">
        <v>0.6</v>
      </c>
      <c r="K68" s="109">
        <v>0.6</v>
      </c>
    </row>
    <row r="69" spans="1:11" x14ac:dyDescent="0.25">
      <c r="A69" s="109" t="s">
        <v>411</v>
      </c>
      <c r="B69" s="115">
        <v>2</v>
      </c>
      <c r="K69" s="109">
        <v>2</v>
      </c>
    </row>
    <row r="70" spans="1:11" x14ac:dyDescent="0.25">
      <c r="A70" s="109" t="s">
        <v>412</v>
      </c>
      <c r="B70" s="115">
        <v>2</v>
      </c>
      <c r="K70" s="109">
        <v>2</v>
      </c>
    </row>
    <row r="71" spans="1:11" x14ac:dyDescent="0.25">
      <c r="A71" s="109" t="s">
        <v>413</v>
      </c>
      <c r="B71" s="115"/>
    </row>
    <row r="72" spans="1:11" x14ac:dyDescent="0.25">
      <c r="A72" s="109" t="s">
        <v>414</v>
      </c>
      <c r="B72" s="115">
        <v>320</v>
      </c>
      <c r="K72" s="109">
        <v>320</v>
      </c>
    </row>
    <row r="73" spans="1:11" x14ac:dyDescent="0.25">
      <c r="A73" s="109" t="s">
        <v>415</v>
      </c>
      <c r="B73" s="115">
        <v>51</v>
      </c>
      <c r="K73" s="109">
        <v>51</v>
      </c>
    </row>
    <row r="74" spans="1:11" x14ac:dyDescent="0.25">
      <c r="A74" s="109" t="s">
        <v>416</v>
      </c>
      <c r="B74" s="115">
        <v>12</v>
      </c>
      <c r="K74" s="109">
        <v>12</v>
      </c>
    </row>
    <row r="75" spans="1:11" x14ac:dyDescent="0.25">
      <c r="A75" s="109" t="s">
        <v>417</v>
      </c>
      <c r="B75" s="115"/>
    </row>
    <row r="76" spans="1:11" x14ac:dyDescent="0.25">
      <c r="A76" s="109" t="s">
        <v>418</v>
      </c>
      <c r="B76" s="117">
        <v>8490</v>
      </c>
      <c r="K76" s="109">
        <v>8490</v>
      </c>
    </row>
    <row r="77" spans="1:11" x14ac:dyDescent="0.25">
      <c r="A77" s="109" t="s">
        <v>419</v>
      </c>
      <c r="B77" s="117">
        <v>12500</v>
      </c>
      <c r="K77" s="109">
        <v>12500</v>
      </c>
    </row>
    <row r="78" spans="1:11" x14ac:dyDescent="0.25">
      <c r="A78" s="109" t="s">
        <v>420</v>
      </c>
      <c r="B78" s="117">
        <v>10440</v>
      </c>
      <c r="K78" s="109">
        <v>10440</v>
      </c>
    </row>
    <row r="79" spans="1:11" x14ac:dyDescent="0.25">
      <c r="A79" s="109" t="s">
        <v>421</v>
      </c>
      <c r="B79" s="117">
        <v>12390</v>
      </c>
      <c r="K79" s="109">
        <v>12390</v>
      </c>
    </row>
    <row r="80" spans="1:11" x14ac:dyDescent="0.25">
      <c r="A80" s="109" t="s">
        <v>422</v>
      </c>
      <c r="B80" s="117">
        <v>7890</v>
      </c>
      <c r="K80" s="109">
        <v>7890</v>
      </c>
    </row>
    <row r="81" spans="1:11" x14ac:dyDescent="0.25">
      <c r="A81" s="109" t="s">
        <v>423</v>
      </c>
      <c r="B81" s="117">
        <v>5860</v>
      </c>
      <c r="K81" s="109">
        <v>5860</v>
      </c>
    </row>
    <row r="82" spans="1:11" x14ac:dyDescent="0.25">
      <c r="A82" s="109" t="s">
        <v>424</v>
      </c>
      <c r="B82" s="117">
        <v>10200</v>
      </c>
      <c r="K82" s="109">
        <v>10200</v>
      </c>
    </row>
    <row r="83" spans="1:11" x14ac:dyDescent="0.25">
      <c r="A83" s="109" t="s">
        <v>425</v>
      </c>
      <c r="B83" s="117">
        <v>25000</v>
      </c>
      <c r="K83" s="109">
        <v>25000</v>
      </c>
    </row>
    <row r="84" spans="1:11" x14ac:dyDescent="0.25">
      <c r="A84" s="109" t="s">
        <v>426</v>
      </c>
      <c r="B84" s="117">
        <v>18000</v>
      </c>
      <c r="K84" s="109">
        <v>18000</v>
      </c>
    </row>
    <row r="85" spans="1:11" x14ac:dyDescent="0.25">
      <c r="A85" s="109" t="s">
        <v>427</v>
      </c>
      <c r="B85" s="117">
        <v>56000</v>
      </c>
      <c r="K85" s="109">
        <v>56000</v>
      </c>
    </row>
    <row r="86" spans="1:11" x14ac:dyDescent="0.25">
      <c r="A86" s="109" t="s">
        <v>428</v>
      </c>
      <c r="B86" s="117"/>
    </row>
    <row r="87" spans="1:11" x14ac:dyDescent="0.25">
      <c r="A87" s="109" t="s">
        <v>429</v>
      </c>
      <c r="B87" s="117">
        <v>42000</v>
      </c>
      <c r="K87" s="109">
        <v>35000</v>
      </c>
    </row>
    <row r="88" spans="1:11" x14ac:dyDescent="0.25">
      <c r="A88" s="109" t="s">
        <v>430</v>
      </c>
      <c r="B88" s="117">
        <v>20000</v>
      </c>
      <c r="K88" s="109">
        <v>20000</v>
      </c>
    </row>
    <row r="89" spans="1:11" x14ac:dyDescent="0.25">
      <c r="A89" s="109" t="s">
        <v>431</v>
      </c>
      <c r="B89" s="117">
        <v>90000</v>
      </c>
      <c r="K89" s="109">
        <v>90000</v>
      </c>
    </row>
    <row r="90" spans="1:11" x14ac:dyDescent="0.25">
      <c r="A90" s="109" t="s">
        <v>432</v>
      </c>
      <c r="B90" s="117"/>
    </row>
    <row r="91" spans="1:11" x14ac:dyDescent="0.25">
      <c r="A91" s="109" t="s">
        <v>433</v>
      </c>
      <c r="B91" s="117"/>
    </row>
    <row r="92" spans="1:11" x14ac:dyDescent="0.25">
      <c r="A92" s="109" t="s">
        <v>434</v>
      </c>
      <c r="B92" s="117">
        <v>11500</v>
      </c>
      <c r="K92" s="109">
        <v>11500</v>
      </c>
    </row>
    <row r="93" spans="1:11" x14ac:dyDescent="0.25">
      <c r="A93" s="109" t="s">
        <v>435</v>
      </c>
      <c r="B93" s="117"/>
    </row>
    <row r="94" spans="1:11" x14ac:dyDescent="0.25">
      <c r="A94" s="109" t="s">
        <v>436</v>
      </c>
      <c r="B94" s="117">
        <v>5700</v>
      </c>
      <c r="K94" s="109">
        <v>5700</v>
      </c>
    </row>
    <row r="95" spans="1:11" x14ac:dyDescent="0.25">
      <c r="A95" s="109" t="s">
        <v>437</v>
      </c>
      <c r="B95" s="117"/>
    </row>
    <row r="96" spans="1:11" x14ac:dyDescent="0.25">
      <c r="A96" s="109" t="s">
        <v>438</v>
      </c>
      <c r="B96" s="117">
        <v>8000</v>
      </c>
      <c r="K96" s="109">
        <v>8000</v>
      </c>
    </row>
    <row r="97" spans="1:11" x14ac:dyDescent="0.25">
      <c r="A97" s="109" t="s">
        <v>439</v>
      </c>
      <c r="B97" s="117"/>
    </row>
    <row r="98" spans="1:11" x14ac:dyDescent="0.25">
      <c r="A98" s="109" t="s">
        <v>440</v>
      </c>
      <c r="B98" s="117"/>
    </row>
    <row r="99" spans="1:11" x14ac:dyDescent="0.25">
      <c r="A99" s="109" t="s">
        <v>441</v>
      </c>
      <c r="B99" s="117">
        <f>IF(F48="n",35000,4000)</f>
        <v>4000</v>
      </c>
      <c r="K99" s="109">
        <v>35000</v>
      </c>
    </row>
    <row r="100" spans="1:11" x14ac:dyDescent="0.25">
      <c r="A100" s="109" t="s">
        <v>442</v>
      </c>
      <c r="B100" s="117"/>
    </row>
    <row r="101" spans="1:11" x14ac:dyDescent="0.25">
      <c r="A101" s="109" t="s">
        <v>443</v>
      </c>
      <c r="B101" s="117">
        <v>20000</v>
      </c>
      <c r="K101" s="109">
        <v>20000</v>
      </c>
    </row>
    <row r="102" spans="1:11" x14ac:dyDescent="0.25">
      <c r="A102" s="109" t="s">
        <v>444</v>
      </c>
      <c r="B102" s="117">
        <v>20000</v>
      </c>
      <c r="K102" s="109">
        <v>20000</v>
      </c>
    </row>
    <row r="103" spans="1:11" x14ac:dyDescent="0.25">
      <c r="A103" s="109" t="s">
        <v>445</v>
      </c>
      <c r="B103" s="117">
        <v>9000</v>
      </c>
      <c r="K103" s="109">
        <v>9000</v>
      </c>
    </row>
    <row r="104" spans="1:11" x14ac:dyDescent="0.25">
      <c r="A104" s="109" t="s">
        <v>446</v>
      </c>
      <c r="B104" s="117"/>
    </row>
    <row r="105" spans="1:11" x14ac:dyDescent="0.25">
      <c r="A105" s="109" t="s">
        <v>447</v>
      </c>
      <c r="B105" s="117">
        <v>28000</v>
      </c>
      <c r="K105" s="109">
        <v>28000</v>
      </c>
    </row>
    <row r="106" spans="1:11" x14ac:dyDescent="0.25">
      <c r="A106" s="109" t="s">
        <v>448</v>
      </c>
      <c r="B106" s="117"/>
    </row>
    <row r="107" spans="1:11" x14ac:dyDescent="0.25">
      <c r="A107" s="109" t="s">
        <v>449</v>
      </c>
    </row>
    <row r="108" spans="1:11" x14ac:dyDescent="0.25">
      <c r="A108" s="109" t="s">
        <v>450</v>
      </c>
      <c r="B108" s="117">
        <v>2800</v>
      </c>
      <c r="K108" s="109">
        <v>2800</v>
      </c>
    </row>
    <row r="109" spans="1:11" x14ac:dyDescent="0.25">
      <c r="A109" s="109" t="s">
        <v>451</v>
      </c>
      <c r="B109" s="117">
        <v>1400</v>
      </c>
      <c r="K109" s="109">
        <v>1400</v>
      </c>
    </row>
    <row r="110" spans="1:11" x14ac:dyDescent="0.25">
      <c r="A110" s="109" t="s">
        <v>452</v>
      </c>
      <c r="B110" s="117"/>
    </row>
    <row r="111" spans="1:11" x14ac:dyDescent="0.25">
      <c r="A111" s="109" t="s">
        <v>453</v>
      </c>
      <c r="B111" s="117">
        <v>1400</v>
      </c>
      <c r="K111" s="109">
        <v>1400</v>
      </c>
    </row>
    <row r="112" spans="1:11" x14ac:dyDescent="0.25">
      <c r="A112" s="109" t="s">
        <v>454</v>
      </c>
      <c r="B112" s="117">
        <v>3</v>
      </c>
      <c r="K112" s="109">
        <v>3</v>
      </c>
    </row>
    <row r="113" spans="1:11" x14ac:dyDescent="0.25">
      <c r="A113" s="109" t="s">
        <v>455</v>
      </c>
      <c r="B113" s="117">
        <v>2</v>
      </c>
      <c r="K113" s="109">
        <v>2</v>
      </c>
    </row>
    <row r="114" spans="1:11" x14ac:dyDescent="0.25">
      <c r="A114" s="109" t="s">
        <v>456</v>
      </c>
      <c r="B114" s="117"/>
    </row>
    <row r="115" spans="1:11" x14ac:dyDescent="0.25">
      <c r="A115" s="109" t="s">
        <v>457</v>
      </c>
      <c r="B115" s="117">
        <v>12</v>
      </c>
      <c r="K115" s="109">
        <v>12</v>
      </c>
    </row>
    <row r="116" spans="1:11" x14ac:dyDescent="0.25">
      <c r="A116" s="109" t="s">
        <v>458</v>
      </c>
      <c r="B116" s="117">
        <v>50</v>
      </c>
      <c r="K116" s="109">
        <v>50</v>
      </c>
    </row>
    <row r="117" spans="1:11" x14ac:dyDescent="0.25">
      <c r="A117" s="109" t="s">
        <v>459</v>
      </c>
      <c r="B117" s="117">
        <v>110</v>
      </c>
      <c r="K117" s="109">
        <v>110</v>
      </c>
    </row>
    <row r="118" spans="1:11" x14ac:dyDescent="0.25">
      <c r="A118" s="109" t="s">
        <v>460</v>
      </c>
      <c r="B118" s="117"/>
    </row>
    <row r="119" spans="1:11" x14ac:dyDescent="0.25">
      <c r="A119" s="109" t="s">
        <v>457</v>
      </c>
      <c r="B119" s="117">
        <f>IF(F50="off",6,0)</f>
        <v>6</v>
      </c>
      <c r="K119" s="109">
        <f>IF(F50="off",6,0)</f>
        <v>6</v>
      </c>
    </row>
    <row r="120" spans="1:11" x14ac:dyDescent="0.25">
      <c r="A120" s="109" t="s">
        <v>461</v>
      </c>
      <c r="B120" s="117">
        <f>IF(F50="off",200,0)</f>
        <v>200</v>
      </c>
      <c r="K120" s="109">
        <f>IF(F50="off",200,0)</f>
        <v>200</v>
      </c>
    </row>
    <row r="121" spans="1:11" x14ac:dyDescent="0.25">
      <c r="A121" s="109" t="s">
        <v>459</v>
      </c>
      <c r="B121" s="117">
        <f>IF(F50="off",100,0)</f>
        <v>100</v>
      </c>
      <c r="K121" s="109">
        <f>IF(F50="off",100,0)</f>
        <v>100</v>
      </c>
    </row>
    <row r="122" spans="1:11" x14ac:dyDescent="0.25">
      <c r="A122" s="109" t="s">
        <v>462</v>
      </c>
      <c r="B122" s="117"/>
    </row>
    <row r="123" spans="1:11" x14ac:dyDescent="0.25">
      <c r="A123" s="109" t="s">
        <v>463</v>
      </c>
      <c r="B123" s="117">
        <v>12</v>
      </c>
      <c r="K123" s="109">
        <v>12</v>
      </c>
    </row>
    <row r="124" spans="1:11" x14ac:dyDescent="0.25">
      <c r="A124" s="109" t="s">
        <v>461</v>
      </c>
      <c r="B124" s="117">
        <v>600</v>
      </c>
      <c r="K124" s="109">
        <v>600</v>
      </c>
    </row>
    <row r="125" spans="1:11" x14ac:dyDescent="0.25">
      <c r="A125" s="109" t="s">
        <v>459</v>
      </c>
      <c r="B125" s="117">
        <v>125</v>
      </c>
      <c r="K125" s="109">
        <v>125</v>
      </c>
    </row>
    <row r="126" spans="1:11" x14ac:dyDescent="0.25">
      <c r="A126" s="109" t="s">
        <v>464</v>
      </c>
      <c r="B126" s="117"/>
    </row>
    <row r="127" spans="1:11" x14ac:dyDescent="0.25">
      <c r="A127" s="109" t="s">
        <v>463</v>
      </c>
      <c r="B127" s="117">
        <v>8</v>
      </c>
      <c r="K127" s="109">
        <v>8</v>
      </c>
    </row>
    <row r="128" spans="1:11" x14ac:dyDescent="0.25">
      <c r="A128" s="109" t="s">
        <v>465</v>
      </c>
      <c r="B128" s="117">
        <v>100</v>
      </c>
      <c r="K128" s="109">
        <v>100</v>
      </c>
    </row>
    <row r="129" spans="1:11" x14ac:dyDescent="0.25">
      <c r="A129" s="109" t="s">
        <v>461</v>
      </c>
      <c r="B129" s="117">
        <v>600</v>
      </c>
      <c r="K129" s="109">
        <v>600</v>
      </c>
    </row>
    <row r="130" spans="1:11" x14ac:dyDescent="0.25">
      <c r="A130" s="109" t="s">
        <v>459</v>
      </c>
      <c r="B130" s="117">
        <v>125</v>
      </c>
      <c r="K130" s="109">
        <v>125</v>
      </c>
    </row>
    <row r="131" spans="1:11" x14ac:dyDescent="0.25">
      <c r="A131" s="109" t="s">
        <v>466</v>
      </c>
      <c r="B131" s="117">
        <v>15</v>
      </c>
      <c r="K131" s="109">
        <v>15</v>
      </c>
    </row>
    <row r="132" spans="1:11" x14ac:dyDescent="0.25">
      <c r="A132" s="109" t="s">
        <v>467</v>
      </c>
      <c r="B132" s="117"/>
    </row>
    <row r="133" spans="1:11" x14ac:dyDescent="0.25">
      <c r="A133" s="109" t="s">
        <v>468</v>
      </c>
      <c r="B133" s="117">
        <v>2</v>
      </c>
      <c r="K133" s="109">
        <v>2</v>
      </c>
    </row>
    <row r="134" spans="1:11" x14ac:dyDescent="0.25">
      <c r="A134" s="109" t="s">
        <v>469</v>
      </c>
      <c r="B134" s="117">
        <v>5000</v>
      </c>
      <c r="K134" s="109">
        <v>5000</v>
      </c>
    </row>
    <row r="135" spans="1:11" x14ac:dyDescent="0.25">
      <c r="A135" s="109" t="s">
        <v>470</v>
      </c>
      <c r="B135" s="117"/>
    </row>
    <row r="136" spans="1:11" x14ac:dyDescent="0.25">
      <c r="A136" s="109" t="s">
        <v>471</v>
      </c>
      <c r="B136" s="117"/>
    </row>
    <row r="137" spans="1:11" x14ac:dyDescent="0.25">
      <c r="A137" s="109" t="s">
        <v>469</v>
      </c>
      <c r="B137" s="117">
        <v>1000</v>
      </c>
      <c r="K137" s="109">
        <v>1000</v>
      </c>
    </row>
    <row r="138" spans="1:11" x14ac:dyDescent="0.25">
      <c r="A138" s="109" t="s">
        <v>472</v>
      </c>
    </row>
  </sheetData>
  <sheetProtection password="DE9B" sheet="1" objects="1" scenarios="1"/>
  <printOptions gridLines="1" gridLinesSet="0"/>
  <pageMargins left="0.75" right="0.75" top="1" bottom="1" header="0.5" footer="0.5"/>
  <pageSetup scale="74" fitToHeight="2" orientation="portrait" horizontalDpi="300" verticalDpi="300" r:id="rId1"/>
  <headerFooter alignWithMargins="0">
    <oddHeader>&amp;A</oddHeader>
    <oddFooter>Page &amp;P</oddFooter>
  </headerFooter>
  <rowBreaks count="1" manualBreakCount="1">
    <brk id="57"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417AB-96C5-46F7-8AC0-FF466ADC92EA}">
  <sheetPr codeName="Sheet2">
    <tabColor theme="8" tint="0.39997558519241921"/>
    <pageSetUpPr fitToPage="1"/>
  </sheetPr>
  <dimension ref="A1:Z61"/>
  <sheetViews>
    <sheetView workbookViewId="0">
      <selection activeCell="Q24" sqref="Q24"/>
    </sheetView>
  </sheetViews>
  <sheetFormatPr defaultRowHeight="12.5" x14ac:dyDescent="0.25"/>
  <cols>
    <col min="1" max="1" width="7.26953125" style="109" customWidth="1"/>
    <col min="2" max="2" width="5.7265625" style="109" customWidth="1"/>
    <col min="3" max="3" width="1.453125" style="109" customWidth="1"/>
    <col min="4" max="4" width="8.7265625" style="109"/>
    <col min="5" max="5" width="4.7265625" style="109" customWidth="1"/>
    <col min="6" max="6" width="3.453125" style="109" customWidth="1"/>
    <col min="7" max="8" width="5.7265625" style="109" customWidth="1"/>
    <col min="9" max="9" width="2" style="109" customWidth="1"/>
    <col min="10" max="10" width="3.26953125" style="109" customWidth="1"/>
    <col min="11" max="11" width="3" style="109" customWidth="1"/>
    <col min="12" max="12" width="1.26953125" style="109" customWidth="1"/>
    <col min="13" max="13" width="5.7265625" style="109" customWidth="1"/>
    <col min="14" max="14" width="5" style="109" customWidth="1"/>
    <col min="15" max="15" width="1.7265625" style="109" customWidth="1"/>
    <col min="16" max="16" width="5.7265625" style="109" customWidth="1"/>
    <col min="17" max="17" width="7" style="109" customWidth="1"/>
    <col min="18" max="18" width="1.7265625" style="109" customWidth="1"/>
    <col min="19" max="19" width="23" style="109" bestFit="1" customWidth="1"/>
    <col min="20" max="20" width="6.7265625" style="109" customWidth="1"/>
    <col min="21" max="21" width="2.7265625" style="109" customWidth="1"/>
    <col min="22" max="22" width="5.54296875" style="109" customWidth="1"/>
    <col min="23" max="23" width="5.7265625" style="109" customWidth="1"/>
    <col min="24" max="24" width="3.26953125" style="109" customWidth="1"/>
    <col min="25" max="26" width="6.7265625" style="109" customWidth="1"/>
    <col min="27" max="256" width="8.7265625" style="109"/>
    <col min="257" max="257" width="7.26953125" style="109" customWidth="1"/>
    <col min="258" max="258" width="5.7265625" style="109" customWidth="1"/>
    <col min="259" max="259" width="1.453125" style="109" customWidth="1"/>
    <col min="260" max="260" width="8.7265625" style="109"/>
    <col min="261" max="261" width="4.7265625" style="109" customWidth="1"/>
    <col min="262" max="262" width="3.453125" style="109" customWidth="1"/>
    <col min="263" max="264" width="5.7265625" style="109" customWidth="1"/>
    <col min="265" max="265" width="2" style="109" customWidth="1"/>
    <col min="266" max="266" width="3.26953125" style="109" customWidth="1"/>
    <col min="267" max="267" width="3" style="109" customWidth="1"/>
    <col min="268" max="268" width="1.26953125" style="109" customWidth="1"/>
    <col min="269" max="269" width="5.7265625" style="109" customWidth="1"/>
    <col min="270" max="270" width="5" style="109" customWidth="1"/>
    <col min="271" max="271" width="1.7265625" style="109" customWidth="1"/>
    <col min="272" max="272" width="5.7265625" style="109" customWidth="1"/>
    <col min="273" max="273" width="7" style="109" customWidth="1"/>
    <col min="274" max="274" width="1.7265625" style="109" customWidth="1"/>
    <col min="275" max="275" width="23" style="109" bestFit="1" customWidth="1"/>
    <col min="276" max="276" width="6.7265625" style="109" customWidth="1"/>
    <col min="277" max="277" width="2.7265625" style="109" customWidth="1"/>
    <col min="278" max="278" width="5.54296875" style="109" customWidth="1"/>
    <col min="279" max="279" width="5.7265625" style="109" customWidth="1"/>
    <col min="280" max="280" width="3.26953125" style="109" customWidth="1"/>
    <col min="281" max="282" width="6.7265625" style="109" customWidth="1"/>
    <col min="283" max="512" width="8.7265625" style="109"/>
    <col min="513" max="513" width="7.26953125" style="109" customWidth="1"/>
    <col min="514" max="514" width="5.7265625" style="109" customWidth="1"/>
    <col min="515" max="515" width="1.453125" style="109" customWidth="1"/>
    <col min="516" max="516" width="8.7265625" style="109"/>
    <col min="517" max="517" width="4.7265625" style="109" customWidth="1"/>
    <col min="518" max="518" width="3.453125" style="109" customWidth="1"/>
    <col min="519" max="520" width="5.7265625" style="109" customWidth="1"/>
    <col min="521" max="521" width="2" style="109" customWidth="1"/>
    <col min="522" max="522" width="3.26953125" style="109" customWidth="1"/>
    <col min="523" max="523" width="3" style="109" customWidth="1"/>
    <col min="524" max="524" width="1.26953125" style="109" customWidth="1"/>
    <col min="525" max="525" width="5.7265625" style="109" customWidth="1"/>
    <col min="526" max="526" width="5" style="109" customWidth="1"/>
    <col min="527" max="527" width="1.7265625" style="109" customWidth="1"/>
    <col min="528" max="528" width="5.7265625" style="109" customWidth="1"/>
    <col min="529" max="529" width="7" style="109" customWidth="1"/>
    <col min="530" max="530" width="1.7265625" style="109" customWidth="1"/>
    <col min="531" max="531" width="23" style="109" bestFit="1" customWidth="1"/>
    <col min="532" max="532" width="6.7265625" style="109" customWidth="1"/>
    <col min="533" max="533" width="2.7265625" style="109" customWidth="1"/>
    <col min="534" max="534" width="5.54296875" style="109" customWidth="1"/>
    <col min="535" max="535" width="5.7265625" style="109" customWidth="1"/>
    <col min="536" max="536" width="3.26953125" style="109" customWidth="1"/>
    <col min="537" max="538" width="6.7265625" style="109" customWidth="1"/>
    <col min="539" max="768" width="8.7265625" style="109"/>
    <col min="769" max="769" width="7.26953125" style="109" customWidth="1"/>
    <col min="770" max="770" width="5.7265625" style="109" customWidth="1"/>
    <col min="771" max="771" width="1.453125" style="109" customWidth="1"/>
    <col min="772" max="772" width="8.7265625" style="109"/>
    <col min="773" max="773" width="4.7265625" style="109" customWidth="1"/>
    <col min="774" max="774" width="3.453125" style="109" customWidth="1"/>
    <col min="775" max="776" width="5.7265625" style="109" customWidth="1"/>
    <col min="777" max="777" width="2" style="109" customWidth="1"/>
    <col min="778" max="778" width="3.26953125" style="109" customWidth="1"/>
    <col min="779" max="779" width="3" style="109" customWidth="1"/>
    <col min="780" max="780" width="1.26953125" style="109" customWidth="1"/>
    <col min="781" max="781" width="5.7265625" style="109" customWidth="1"/>
    <col min="782" max="782" width="5" style="109" customWidth="1"/>
    <col min="783" max="783" width="1.7265625" style="109" customWidth="1"/>
    <col min="784" max="784" width="5.7265625" style="109" customWidth="1"/>
    <col min="785" max="785" width="7" style="109" customWidth="1"/>
    <col min="786" max="786" width="1.7265625" style="109" customWidth="1"/>
    <col min="787" max="787" width="23" style="109" bestFit="1" customWidth="1"/>
    <col min="788" max="788" width="6.7265625" style="109" customWidth="1"/>
    <col min="789" max="789" width="2.7265625" style="109" customWidth="1"/>
    <col min="790" max="790" width="5.54296875" style="109" customWidth="1"/>
    <col min="791" max="791" width="5.7265625" style="109" customWidth="1"/>
    <col min="792" max="792" width="3.26953125" style="109" customWidth="1"/>
    <col min="793" max="794" width="6.7265625" style="109" customWidth="1"/>
    <col min="795" max="1024" width="8.7265625" style="109"/>
    <col min="1025" max="1025" width="7.26953125" style="109" customWidth="1"/>
    <col min="1026" max="1026" width="5.7265625" style="109" customWidth="1"/>
    <col min="1027" max="1027" width="1.453125" style="109" customWidth="1"/>
    <col min="1028" max="1028" width="8.7265625" style="109"/>
    <col min="1029" max="1029" width="4.7265625" style="109" customWidth="1"/>
    <col min="1030" max="1030" width="3.453125" style="109" customWidth="1"/>
    <col min="1031" max="1032" width="5.7265625" style="109" customWidth="1"/>
    <col min="1033" max="1033" width="2" style="109" customWidth="1"/>
    <col min="1034" max="1034" width="3.26953125" style="109" customWidth="1"/>
    <col min="1035" max="1035" width="3" style="109" customWidth="1"/>
    <col min="1036" max="1036" width="1.26953125" style="109" customWidth="1"/>
    <col min="1037" max="1037" width="5.7265625" style="109" customWidth="1"/>
    <col min="1038" max="1038" width="5" style="109" customWidth="1"/>
    <col min="1039" max="1039" width="1.7265625" style="109" customWidth="1"/>
    <col min="1040" max="1040" width="5.7265625" style="109" customWidth="1"/>
    <col min="1041" max="1041" width="7" style="109" customWidth="1"/>
    <col min="1042" max="1042" width="1.7265625" style="109" customWidth="1"/>
    <col min="1043" max="1043" width="23" style="109" bestFit="1" customWidth="1"/>
    <col min="1044" max="1044" width="6.7265625" style="109" customWidth="1"/>
    <col min="1045" max="1045" width="2.7265625" style="109" customWidth="1"/>
    <col min="1046" max="1046" width="5.54296875" style="109" customWidth="1"/>
    <col min="1047" max="1047" width="5.7265625" style="109" customWidth="1"/>
    <col min="1048" max="1048" width="3.26953125" style="109" customWidth="1"/>
    <col min="1049" max="1050" width="6.7265625" style="109" customWidth="1"/>
    <col min="1051" max="1280" width="8.7265625" style="109"/>
    <col min="1281" max="1281" width="7.26953125" style="109" customWidth="1"/>
    <col min="1282" max="1282" width="5.7265625" style="109" customWidth="1"/>
    <col min="1283" max="1283" width="1.453125" style="109" customWidth="1"/>
    <col min="1284" max="1284" width="8.7265625" style="109"/>
    <col min="1285" max="1285" width="4.7265625" style="109" customWidth="1"/>
    <col min="1286" max="1286" width="3.453125" style="109" customWidth="1"/>
    <col min="1287" max="1288" width="5.7265625" style="109" customWidth="1"/>
    <col min="1289" max="1289" width="2" style="109" customWidth="1"/>
    <col min="1290" max="1290" width="3.26953125" style="109" customWidth="1"/>
    <col min="1291" max="1291" width="3" style="109" customWidth="1"/>
    <col min="1292" max="1292" width="1.26953125" style="109" customWidth="1"/>
    <col min="1293" max="1293" width="5.7265625" style="109" customWidth="1"/>
    <col min="1294" max="1294" width="5" style="109" customWidth="1"/>
    <col min="1295" max="1295" width="1.7265625" style="109" customWidth="1"/>
    <col min="1296" max="1296" width="5.7265625" style="109" customWidth="1"/>
    <col min="1297" max="1297" width="7" style="109" customWidth="1"/>
    <col min="1298" max="1298" width="1.7265625" style="109" customWidth="1"/>
    <col min="1299" max="1299" width="23" style="109" bestFit="1" customWidth="1"/>
    <col min="1300" max="1300" width="6.7265625" style="109" customWidth="1"/>
    <col min="1301" max="1301" width="2.7265625" style="109" customWidth="1"/>
    <col min="1302" max="1302" width="5.54296875" style="109" customWidth="1"/>
    <col min="1303" max="1303" width="5.7265625" style="109" customWidth="1"/>
    <col min="1304" max="1304" width="3.26953125" style="109" customWidth="1"/>
    <col min="1305" max="1306" width="6.7265625" style="109" customWidth="1"/>
    <col min="1307" max="1536" width="8.7265625" style="109"/>
    <col min="1537" max="1537" width="7.26953125" style="109" customWidth="1"/>
    <col min="1538" max="1538" width="5.7265625" style="109" customWidth="1"/>
    <col min="1539" max="1539" width="1.453125" style="109" customWidth="1"/>
    <col min="1540" max="1540" width="8.7265625" style="109"/>
    <col min="1541" max="1541" width="4.7265625" style="109" customWidth="1"/>
    <col min="1542" max="1542" width="3.453125" style="109" customWidth="1"/>
    <col min="1543" max="1544" width="5.7265625" style="109" customWidth="1"/>
    <col min="1545" max="1545" width="2" style="109" customWidth="1"/>
    <col min="1546" max="1546" width="3.26953125" style="109" customWidth="1"/>
    <col min="1547" max="1547" width="3" style="109" customWidth="1"/>
    <col min="1548" max="1548" width="1.26953125" style="109" customWidth="1"/>
    <col min="1549" max="1549" width="5.7265625" style="109" customWidth="1"/>
    <col min="1550" max="1550" width="5" style="109" customWidth="1"/>
    <col min="1551" max="1551" width="1.7265625" style="109" customWidth="1"/>
    <col min="1552" max="1552" width="5.7265625" style="109" customWidth="1"/>
    <col min="1553" max="1553" width="7" style="109" customWidth="1"/>
    <col min="1554" max="1554" width="1.7265625" style="109" customWidth="1"/>
    <col min="1555" max="1555" width="23" style="109" bestFit="1" customWidth="1"/>
    <col min="1556" max="1556" width="6.7265625" style="109" customWidth="1"/>
    <col min="1557" max="1557" width="2.7265625" style="109" customWidth="1"/>
    <col min="1558" max="1558" width="5.54296875" style="109" customWidth="1"/>
    <col min="1559" max="1559" width="5.7265625" style="109" customWidth="1"/>
    <col min="1560" max="1560" width="3.26953125" style="109" customWidth="1"/>
    <col min="1561" max="1562" width="6.7265625" style="109" customWidth="1"/>
    <col min="1563" max="1792" width="8.7265625" style="109"/>
    <col min="1793" max="1793" width="7.26953125" style="109" customWidth="1"/>
    <col min="1794" max="1794" width="5.7265625" style="109" customWidth="1"/>
    <col min="1795" max="1795" width="1.453125" style="109" customWidth="1"/>
    <col min="1796" max="1796" width="8.7265625" style="109"/>
    <col min="1797" max="1797" width="4.7265625" style="109" customWidth="1"/>
    <col min="1798" max="1798" width="3.453125" style="109" customWidth="1"/>
    <col min="1799" max="1800" width="5.7265625" style="109" customWidth="1"/>
    <col min="1801" max="1801" width="2" style="109" customWidth="1"/>
    <col min="1802" max="1802" width="3.26953125" style="109" customWidth="1"/>
    <col min="1803" max="1803" width="3" style="109" customWidth="1"/>
    <col min="1804" max="1804" width="1.26953125" style="109" customWidth="1"/>
    <col min="1805" max="1805" width="5.7265625" style="109" customWidth="1"/>
    <col min="1806" max="1806" width="5" style="109" customWidth="1"/>
    <col min="1807" max="1807" width="1.7265625" style="109" customWidth="1"/>
    <col min="1808" max="1808" width="5.7265625" style="109" customWidth="1"/>
    <col min="1809" max="1809" width="7" style="109" customWidth="1"/>
    <col min="1810" max="1810" width="1.7265625" style="109" customWidth="1"/>
    <col min="1811" max="1811" width="23" style="109" bestFit="1" customWidth="1"/>
    <col min="1812" max="1812" width="6.7265625" style="109" customWidth="1"/>
    <col min="1813" max="1813" width="2.7265625" style="109" customWidth="1"/>
    <col min="1814" max="1814" width="5.54296875" style="109" customWidth="1"/>
    <col min="1815" max="1815" width="5.7265625" style="109" customWidth="1"/>
    <col min="1816" max="1816" width="3.26953125" style="109" customWidth="1"/>
    <col min="1817" max="1818" width="6.7265625" style="109" customWidth="1"/>
    <col min="1819" max="2048" width="8.7265625" style="109"/>
    <col min="2049" max="2049" width="7.26953125" style="109" customWidth="1"/>
    <col min="2050" max="2050" width="5.7265625" style="109" customWidth="1"/>
    <col min="2051" max="2051" width="1.453125" style="109" customWidth="1"/>
    <col min="2052" max="2052" width="8.7265625" style="109"/>
    <col min="2053" max="2053" width="4.7265625" style="109" customWidth="1"/>
    <col min="2054" max="2054" width="3.453125" style="109" customWidth="1"/>
    <col min="2055" max="2056" width="5.7265625" style="109" customWidth="1"/>
    <col min="2057" max="2057" width="2" style="109" customWidth="1"/>
    <col min="2058" max="2058" width="3.26953125" style="109" customWidth="1"/>
    <col min="2059" max="2059" width="3" style="109" customWidth="1"/>
    <col min="2060" max="2060" width="1.26953125" style="109" customWidth="1"/>
    <col min="2061" max="2061" width="5.7265625" style="109" customWidth="1"/>
    <col min="2062" max="2062" width="5" style="109" customWidth="1"/>
    <col min="2063" max="2063" width="1.7265625" style="109" customWidth="1"/>
    <col min="2064" max="2064" width="5.7265625" style="109" customWidth="1"/>
    <col min="2065" max="2065" width="7" style="109" customWidth="1"/>
    <col min="2066" max="2066" width="1.7265625" style="109" customWidth="1"/>
    <col min="2067" max="2067" width="23" style="109" bestFit="1" customWidth="1"/>
    <col min="2068" max="2068" width="6.7265625" style="109" customWidth="1"/>
    <col min="2069" max="2069" width="2.7265625" style="109" customWidth="1"/>
    <col min="2070" max="2070" width="5.54296875" style="109" customWidth="1"/>
    <col min="2071" max="2071" width="5.7265625" style="109" customWidth="1"/>
    <col min="2072" max="2072" width="3.26953125" style="109" customWidth="1"/>
    <col min="2073" max="2074" width="6.7265625" style="109" customWidth="1"/>
    <col min="2075" max="2304" width="8.7265625" style="109"/>
    <col min="2305" max="2305" width="7.26953125" style="109" customWidth="1"/>
    <col min="2306" max="2306" width="5.7265625" style="109" customWidth="1"/>
    <col min="2307" max="2307" width="1.453125" style="109" customWidth="1"/>
    <col min="2308" max="2308" width="8.7265625" style="109"/>
    <col min="2309" max="2309" width="4.7265625" style="109" customWidth="1"/>
    <col min="2310" max="2310" width="3.453125" style="109" customWidth="1"/>
    <col min="2311" max="2312" width="5.7265625" style="109" customWidth="1"/>
    <col min="2313" max="2313" width="2" style="109" customWidth="1"/>
    <col min="2314" max="2314" width="3.26953125" style="109" customWidth="1"/>
    <col min="2315" max="2315" width="3" style="109" customWidth="1"/>
    <col min="2316" max="2316" width="1.26953125" style="109" customWidth="1"/>
    <col min="2317" max="2317" width="5.7265625" style="109" customWidth="1"/>
    <col min="2318" max="2318" width="5" style="109" customWidth="1"/>
    <col min="2319" max="2319" width="1.7265625" style="109" customWidth="1"/>
    <col min="2320" max="2320" width="5.7265625" style="109" customWidth="1"/>
    <col min="2321" max="2321" width="7" style="109" customWidth="1"/>
    <col min="2322" max="2322" width="1.7265625" style="109" customWidth="1"/>
    <col min="2323" max="2323" width="23" style="109" bestFit="1" customWidth="1"/>
    <col min="2324" max="2324" width="6.7265625" style="109" customWidth="1"/>
    <col min="2325" max="2325" width="2.7265625" style="109" customWidth="1"/>
    <col min="2326" max="2326" width="5.54296875" style="109" customWidth="1"/>
    <col min="2327" max="2327" width="5.7265625" style="109" customWidth="1"/>
    <col min="2328" max="2328" width="3.26953125" style="109" customWidth="1"/>
    <col min="2329" max="2330" width="6.7265625" style="109" customWidth="1"/>
    <col min="2331" max="2560" width="8.7265625" style="109"/>
    <col min="2561" max="2561" width="7.26953125" style="109" customWidth="1"/>
    <col min="2562" max="2562" width="5.7265625" style="109" customWidth="1"/>
    <col min="2563" max="2563" width="1.453125" style="109" customWidth="1"/>
    <col min="2564" max="2564" width="8.7265625" style="109"/>
    <col min="2565" max="2565" width="4.7265625" style="109" customWidth="1"/>
    <col min="2566" max="2566" width="3.453125" style="109" customWidth="1"/>
    <col min="2567" max="2568" width="5.7265625" style="109" customWidth="1"/>
    <col min="2569" max="2569" width="2" style="109" customWidth="1"/>
    <col min="2570" max="2570" width="3.26953125" style="109" customWidth="1"/>
    <col min="2571" max="2571" width="3" style="109" customWidth="1"/>
    <col min="2572" max="2572" width="1.26953125" style="109" customWidth="1"/>
    <col min="2573" max="2573" width="5.7265625" style="109" customWidth="1"/>
    <col min="2574" max="2574" width="5" style="109" customWidth="1"/>
    <col min="2575" max="2575" width="1.7265625" style="109" customWidth="1"/>
    <col min="2576" max="2576" width="5.7265625" style="109" customWidth="1"/>
    <col min="2577" max="2577" width="7" style="109" customWidth="1"/>
    <col min="2578" max="2578" width="1.7265625" style="109" customWidth="1"/>
    <col min="2579" max="2579" width="23" style="109" bestFit="1" customWidth="1"/>
    <col min="2580" max="2580" width="6.7265625" style="109" customWidth="1"/>
    <col min="2581" max="2581" width="2.7265625" style="109" customWidth="1"/>
    <col min="2582" max="2582" width="5.54296875" style="109" customWidth="1"/>
    <col min="2583" max="2583" width="5.7265625" style="109" customWidth="1"/>
    <col min="2584" max="2584" width="3.26953125" style="109" customWidth="1"/>
    <col min="2585" max="2586" width="6.7265625" style="109" customWidth="1"/>
    <col min="2587" max="2816" width="8.7265625" style="109"/>
    <col min="2817" max="2817" width="7.26953125" style="109" customWidth="1"/>
    <col min="2818" max="2818" width="5.7265625" style="109" customWidth="1"/>
    <col min="2819" max="2819" width="1.453125" style="109" customWidth="1"/>
    <col min="2820" max="2820" width="8.7265625" style="109"/>
    <col min="2821" max="2821" width="4.7265625" style="109" customWidth="1"/>
    <col min="2822" max="2822" width="3.453125" style="109" customWidth="1"/>
    <col min="2823" max="2824" width="5.7265625" style="109" customWidth="1"/>
    <col min="2825" max="2825" width="2" style="109" customWidth="1"/>
    <col min="2826" max="2826" width="3.26953125" style="109" customWidth="1"/>
    <col min="2827" max="2827" width="3" style="109" customWidth="1"/>
    <col min="2828" max="2828" width="1.26953125" style="109" customWidth="1"/>
    <col min="2829" max="2829" width="5.7265625" style="109" customWidth="1"/>
    <col min="2830" max="2830" width="5" style="109" customWidth="1"/>
    <col min="2831" max="2831" width="1.7265625" style="109" customWidth="1"/>
    <col min="2832" max="2832" width="5.7265625" style="109" customWidth="1"/>
    <col min="2833" max="2833" width="7" style="109" customWidth="1"/>
    <col min="2834" max="2834" width="1.7265625" style="109" customWidth="1"/>
    <col min="2835" max="2835" width="23" style="109" bestFit="1" customWidth="1"/>
    <col min="2836" max="2836" width="6.7265625" style="109" customWidth="1"/>
    <col min="2837" max="2837" width="2.7265625" style="109" customWidth="1"/>
    <col min="2838" max="2838" width="5.54296875" style="109" customWidth="1"/>
    <col min="2839" max="2839" width="5.7265625" style="109" customWidth="1"/>
    <col min="2840" max="2840" width="3.26953125" style="109" customWidth="1"/>
    <col min="2841" max="2842" width="6.7265625" style="109" customWidth="1"/>
    <col min="2843" max="3072" width="8.7265625" style="109"/>
    <col min="3073" max="3073" width="7.26953125" style="109" customWidth="1"/>
    <col min="3074" max="3074" width="5.7265625" style="109" customWidth="1"/>
    <col min="3075" max="3075" width="1.453125" style="109" customWidth="1"/>
    <col min="3076" max="3076" width="8.7265625" style="109"/>
    <col min="3077" max="3077" width="4.7265625" style="109" customWidth="1"/>
    <col min="3078" max="3078" width="3.453125" style="109" customWidth="1"/>
    <col min="3079" max="3080" width="5.7265625" style="109" customWidth="1"/>
    <col min="3081" max="3081" width="2" style="109" customWidth="1"/>
    <col min="3082" max="3082" width="3.26953125" style="109" customWidth="1"/>
    <col min="3083" max="3083" width="3" style="109" customWidth="1"/>
    <col min="3084" max="3084" width="1.26953125" style="109" customWidth="1"/>
    <col min="3085" max="3085" width="5.7265625" style="109" customWidth="1"/>
    <col min="3086" max="3086" width="5" style="109" customWidth="1"/>
    <col min="3087" max="3087" width="1.7265625" style="109" customWidth="1"/>
    <col min="3088" max="3088" width="5.7265625" style="109" customWidth="1"/>
    <col min="3089" max="3089" width="7" style="109" customWidth="1"/>
    <col min="3090" max="3090" width="1.7265625" style="109" customWidth="1"/>
    <col min="3091" max="3091" width="23" style="109" bestFit="1" customWidth="1"/>
    <col min="3092" max="3092" width="6.7265625" style="109" customWidth="1"/>
    <col min="3093" max="3093" width="2.7265625" style="109" customWidth="1"/>
    <col min="3094" max="3094" width="5.54296875" style="109" customWidth="1"/>
    <col min="3095" max="3095" width="5.7265625" style="109" customWidth="1"/>
    <col min="3096" max="3096" width="3.26953125" style="109" customWidth="1"/>
    <col min="3097" max="3098" width="6.7265625" style="109" customWidth="1"/>
    <col min="3099" max="3328" width="8.7265625" style="109"/>
    <col min="3329" max="3329" width="7.26953125" style="109" customWidth="1"/>
    <col min="3330" max="3330" width="5.7265625" style="109" customWidth="1"/>
    <col min="3331" max="3331" width="1.453125" style="109" customWidth="1"/>
    <col min="3332" max="3332" width="8.7265625" style="109"/>
    <col min="3333" max="3333" width="4.7265625" style="109" customWidth="1"/>
    <col min="3334" max="3334" width="3.453125" style="109" customWidth="1"/>
    <col min="3335" max="3336" width="5.7265625" style="109" customWidth="1"/>
    <col min="3337" max="3337" width="2" style="109" customWidth="1"/>
    <col min="3338" max="3338" width="3.26953125" style="109" customWidth="1"/>
    <col min="3339" max="3339" width="3" style="109" customWidth="1"/>
    <col min="3340" max="3340" width="1.26953125" style="109" customWidth="1"/>
    <col min="3341" max="3341" width="5.7265625" style="109" customWidth="1"/>
    <col min="3342" max="3342" width="5" style="109" customWidth="1"/>
    <col min="3343" max="3343" width="1.7265625" style="109" customWidth="1"/>
    <col min="3344" max="3344" width="5.7265625" style="109" customWidth="1"/>
    <col min="3345" max="3345" width="7" style="109" customWidth="1"/>
    <col min="3346" max="3346" width="1.7265625" style="109" customWidth="1"/>
    <col min="3347" max="3347" width="23" style="109" bestFit="1" customWidth="1"/>
    <col min="3348" max="3348" width="6.7265625" style="109" customWidth="1"/>
    <col min="3349" max="3349" width="2.7265625" style="109" customWidth="1"/>
    <col min="3350" max="3350" width="5.54296875" style="109" customWidth="1"/>
    <col min="3351" max="3351" width="5.7265625" style="109" customWidth="1"/>
    <col min="3352" max="3352" width="3.26953125" style="109" customWidth="1"/>
    <col min="3353" max="3354" width="6.7265625" style="109" customWidth="1"/>
    <col min="3355" max="3584" width="8.7265625" style="109"/>
    <col min="3585" max="3585" width="7.26953125" style="109" customWidth="1"/>
    <col min="3586" max="3586" width="5.7265625" style="109" customWidth="1"/>
    <col min="3587" max="3587" width="1.453125" style="109" customWidth="1"/>
    <col min="3588" max="3588" width="8.7265625" style="109"/>
    <col min="3589" max="3589" width="4.7265625" style="109" customWidth="1"/>
    <col min="3590" max="3590" width="3.453125" style="109" customWidth="1"/>
    <col min="3591" max="3592" width="5.7265625" style="109" customWidth="1"/>
    <col min="3593" max="3593" width="2" style="109" customWidth="1"/>
    <col min="3594" max="3594" width="3.26953125" style="109" customWidth="1"/>
    <col min="3595" max="3595" width="3" style="109" customWidth="1"/>
    <col min="3596" max="3596" width="1.26953125" style="109" customWidth="1"/>
    <col min="3597" max="3597" width="5.7265625" style="109" customWidth="1"/>
    <col min="3598" max="3598" width="5" style="109" customWidth="1"/>
    <col min="3599" max="3599" width="1.7265625" style="109" customWidth="1"/>
    <col min="3600" max="3600" width="5.7265625" style="109" customWidth="1"/>
    <col min="3601" max="3601" width="7" style="109" customWidth="1"/>
    <col min="3602" max="3602" width="1.7265625" style="109" customWidth="1"/>
    <col min="3603" max="3603" width="23" style="109" bestFit="1" customWidth="1"/>
    <col min="3604" max="3604" width="6.7265625" style="109" customWidth="1"/>
    <col min="3605" max="3605" width="2.7265625" style="109" customWidth="1"/>
    <col min="3606" max="3606" width="5.54296875" style="109" customWidth="1"/>
    <col min="3607" max="3607" width="5.7265625" style="109" customWidth="1"/>
    <col min="3608" max="3608" width="3.26953125" style="109" customWidth="1"/>
    <col min="3609" max="3610" width="6.7265625" style="109" customWidth="1"/>
    <col min="3611" max="3840" width="8.7265625" style="109"/>
    <col min="3841" max="3841" width="7.26953125" style="109" customWidth="1"/>
    <col min="3842" max="3842" width="5.7265625" style="109" customWidth="1"/>
    <col min="3843" max="3843" width="1.453125" style="109" customWidth="1"/>
    <col min="3844" max="3844" width="8.7265625" style="109"/>
    <col min="3845" max="3845" width="4.7265625" style="109" customWidth="1"/>
    <col min="3846" max="3846" width="3.453125" style="109" customWidth="1"/>
    <col min="3847" max="3848" width="5.7265625" style="109" customWidth="1"/>
    <col min="3849" max="3849" width="2" style="109" customWidth="1"/>
    <col min="3850" max="3850" width="3.26953125" style="109" customWidth="1"/>
    <col min="3851" max="3851" width="3" style="109" customWidth="1"/>
    <col min="3852" max="3852" width="1.26953125" style="109" customWidth="1"/>
    <col min="3853" max="3853" width="5.7265625" style="109" customWidth="1"/>
    <col min="3854" max="3854" width="5" style="109" customWidth="1"/>
    <col min="3855" max="3855" width="1.7265625" style="109" customWidth="1"/>
    <col min="3856" max="3856" width="5.7265625" style="109" customWidth="1"/>
    <col min="3857" max="3857" width="7" style="109" customWidth="1"/>
    <col min="3858" max="3858" width="1.7265625" style="109" customWidth="1"/>
    <col min="3859" max="3859" width="23" style="109" bestFit="1" customWidth="1"/>
    <col min="3860" max="3860" width="6.7265625" style="109" customWidth="1"/>
    <col min="3861" max="3861" width="2.7265625" style="109" customWidth="1"/>
    <col min="3862" max="3862" width="5.54296875" style="109" customWidth="1"/>
    <col min="3863" max="3863" width="5.7265625" style="109" customWidth="1"/>
    <col min="3864" max="3864" width="3.26953125" style="109" customWidth="1"/>
    <col min="3865" max="3866" width="6.7265625" style="109" customWidth="1"/>
    <col min="3867" max="4096" width="8.7265625" style="109"/>
    <col min="4097" max="4097" width="7.26953125" style="109" customWidth="1"/>
    <col min="4098" max="4098" width="5.7265625" style="109" customWidth="1"/>
    <col min="4099" max="4099" width="1.453125" style="109" customWidth="1"/>
    <col min="4100" max="4100" width="8.7265625" style="109"/>
    <col min="4101" max="4101" width="4.7265625" style="109" customWidth="1"/>
    <col min="4102" max="4102" width="3.453125" style="109" customWidth="1"/>
    <col min="4103" max="4104" width="5.7265625" style="109" customWidth="1"/>
    <col min="4105" max="4105" width="2" style="109" customWidth="1"/>
    <col min="4106" max="4106" width="3.26953125" style="109" customWidth="1"/>
    <col min="4107" max="4107" width="3" style="109" customWidth="1"/>
    <col min="4108" max="4108" width="1.26953125" style="109" customWidth="1"/>
    <col min="4109" max="4109" width="5.7265625" style="109" customWidth="1"/>
    <col min="4110" max="4110" width="5" style="109" customWidth="1"/>
    <col min="4111" max="4111" width="1.7265625" style="109" customWidth="1"/>
    <col min="4112" max="4112" width="5.7265625" style="109" customWidth="1"/>
    <col min="4113" max="4113" width="7" style="109" customWidth="1"/>
    <col min="4114" max="4114" width="1.7265625" style="109" customWidth="1"/>
    <col min="4115" max="4115" width="23" style="109" bestFit="1" customWidth="1"/>
    <col min="4116" max="4116" width="6.7265625" style="109" customWidth="1"/>
    <col min="4117" max="4117" width="2.7265625" style="109" customWidth="1"/>
    <col min="4118" max="4118" width="5.54296875" style="109" customWidth="1"/>
    <col min="4119" max="4119" width="5.7265625" style="109" customWidth="1"/>
    <col min="4120" max="4120" width="3.26953125" style="109" customWidth="1"/>
    <col min="4121" max="4122" width="6.7265625" style="109" customWidth="1"/>
    <col min="4123" max="4352" width="8.7265625" style="109"/>
    <col min="4353" max="4353" width="7.26953125" style="109" customWidth="1"/>
    <col min="4354" max="4354" width="5.7265625" style="109" customWidth="1"/>
    <col min="4355" max="4355" width="1.453125" style="109" customWidth="1"/>
    <col min="4356" max="4356" width="8.7265625" style="109"/>
    <col min="4357" max="4357" width="4.7265625" style="109" customWidth="1"/>
    <col min="4358" max="4358" width="3.453125" style="109" customWidth="1"/>
    <col min="4359" max="4360" width="5.7265625" style="109" customWidth="1"/>
    <col min="4361" max="4361" width="2" style="109" customWidth="1"/>
    <col min="4362" max="4362" width="3.26953125" style="109" customWidth="1"/>
    <col min="4363" max="4363" width="3" style="109" customWidth="1"/>
    <col min="4364" max="4364" width="1.26953125" style="109" customWidth="1"/>
    <col min="4365" max="4365" width="5.7265625" style="109" customWidth="1"/>
    <col min="4366" max="4366" width="5" style="109" customWidth="1"/>
    <col min="4367" max="4367" width="1.7265625" style="109" customWidth="1"/>
    <col min="4368" max="4368" width="5.7265625" style="109" customWidth="1"/>
    <col min="4369" max="4369" width="7" style="109" customWidth="1"/>
    <col min="4370" max="4370" width="1.7265625" style="109" customWidth="1"/>
    <col min="4371" max="4371" width="23" style="109" bestFit="1" customWidth="1"/>
    <col min="4372" max="4372" width="6.7265625" style="109" customWidth="1"/>
    <col min="4373" max="4373" width="2.7265625" style="109" customWidth="1"/>
    <col min="4374" max="4374" width="5.54296875" style="109" customWidth="1"/>
    <col min="4375" max="4375" width="5.7265625" style="109" customWidth="1"/>
    <col min="4376" max="4376" width="3.26953125" style="109" customWidth="1"/>
    <col min="4377" max="4378" width="6.7265625" style="109" customWidth="1"/>
    <col min="4379" max="4608" width="8.7265625" style="109"/>
    <col min="4609" max="4609" width="7.26953125" style="109" customWidth="1"/>
    <col min="4610" max="4610" width="5.7265625" style="109" customWidth="1"/>
    <col min="4611" max="4611" width="1.453125" style="109" customWidth="1"/>
    <col min="4612" max="4612" width="8.7265625" style="109"/>
    <col min="4613" max="4613" width="4.7265625" style="109" customWidth="1"/>
    <col min="4614" max="4614" width="3.453125" style="109" customWidth="1"/>
    <col min="4615" max="4616" width="5.7265625" style="109" customWidth="1"/>
    <col min="4617" max="4617" width="2" style="109" customWidth="1"/>
    <col min="4618" max="4618" width="3.26953125" style="109" customWidth="1"/>
    <col min="4619" max="4619" width="3" style="109" customWidth="1"/>
    <col min="4620" max="4620" width="1.26953125" style="109" customWidth="1"/>
    <col min="4621" max="4621" width="5.7265625" style="109" customWidth="1"/>
    <col min="4622" max="4622" width="5" style="109" customWidth="1"/>
    <col min="4623" max="4623" width="1.7265625" style="109" customWidth="1"/>
    <col min="4624" max="4624" width="5.7265625" style="109" customWidth="1"/>
    <col min="4625" max="4625" width="7" style="109" customWidth="1"/>
    <col min="4626" max="4626" width="1.7265625" style="109" customWidth="1"/>
    <col min="4627" max="4627" width="23" style="109" bestFit="1" customWidth="1"/>
    <col min="4628" max="4628" width="6.7265625" style="109" customWidth="1"/>
    <col min="4629" max="4629" width="2.7265625" style="109" customWidth="1"/>
    <col min="4630" max="4630" width="5.54296875" style="109" customWidth="1"/>
    <col min="4631" max="4631" width="5.7265625" style="109" customWidth="1"/>
    <col min="4632" max="4632" width="3.26953125" style="109" customWidth="1"/>
    <col min="4633" max="4634" width="6.7265625" style="109" customWidth="1"/>
    <col min="4635" max="4864" width="8.7265625" style="109"/>
    <col min="4865" max="4865" width="7.26953125" style="109" customWidth="1"/>
    <col min="4866" max="4866" width="5.7265625" style="109" customWidth="1"/>
    <col min="4867" max="4867" width="1.453125" style="109" customWidth="1"/>
    <col min="4868" max="4868" width="8.7265625" style="109"/>
    <col min="4869" max="4869" width="4.7265625" style="109" customWidth="1"/>
    <col min="4870" max="4870" width="3.453125" style="109" customWidth="1"/>
    <col min="4871" max="4872" width="5.7265625" style="109" customWidth="1"/>
    <col min="4873" max="4873" width="2" style="109" customWidth="1"/>
    <col min="4874" max="4874" width="3.26953125" style="109" customWidth="1"/>
    <col min="4875" max="4875" width="3" style="109" customWidth="1"/>
    <col min="4876" max="4876" width="1.26953125" style="109" customWidth="1"/>
    <col min="4877" max="4877" width="5.7265625" style="109" customWidth="1"/>
    <col min="4878" max="4878" width="5" style="109" customWidth="1"/>
    <col min="4879" max="4879" width="1.7265625" style="109" customWidth="1"/>
    <col min="4880" max="4880" width="5.7265625" style="109" customWidth="1"/>
    <col min="4881" max="4881" width="7" style="109" customWidth="1"/>
    <col min="4882" max="4882" width="1.7265625" style="109" customWidth="1"/>
    <col min="4883" max="4883" width="23" style="109" bestFit="1" customWidth="1"/>
    <col min="4884" max="4884" width="6.7265625" style="109" customWidth="1"/>
    <col min="4885" max="4885" width="2.7265625" style="109" customWidth="1"/>
    <col min="4886" max="4886" width="5.54296875" style="109" customWidth="1"/>
    <col min="4887" max="4887" width="5.7265625" style="109" customWidth="1"/>
    <col min="4888" max="4888" width="3.26953125" style="109" customWidth="1"/>
    <col min="4889" max="4890" width="6.7265625" style="109" customWidth="1"/>
    <col min="4891" max="5120" width="8.7265625" style="109"/>
    <col min="5121" max="5121" width="7.26953125" style="109" customWidth="1"/>
    <col min="5122" max="5122" width="5.7265625" style="109" customWidth="1"/>
    <col min="5123" max="5123" width="1.453125" style="109" customWidth="1"/>
    <col min="5124" max="5124" width="8.7265625" style="109"/>
    <col min="5125" max="5125" width="4.7265625" style="109" customWidth="1"/>
    <col min="5126" max="5126" width="3.453125" style="109" customWidth="1"/>
    <col min="5127" max="5128" width="5.7265625" style="109" customWidth="1"/>
    <col min="5129" max="5129" width="2" style="109" customWidth="1"/>
    <col min="5130" max="5130" width="3.26953125" style="109" customWidth="1"/>
    <col min="5131" max="5131" width="3" style="109" customWidth="1"/>
    <col min="5132" max="5132" width="1.26953125" style="109" customWidth="1"/>
    <col min="5133" max="5133" width="5.7265625" style="109" customWidth="1"/>
    <col min="5134" max="5134" width="5" style="109" customWidth="1"/>
    <col min="5135" max="5135" width="1.7265625" style="109" customWidth="1"/>
    <col min="5136" max="5136" width="5.7265625" style="109" customWidth="1"/>
    <col min="5137" max="5137" width="7" style="109" customWidth="1"/>
    <col min="5138" max="5138" width="1.7265625" style="109" customWidth="1"/>
    <col min="5139" max="5139" width="23" style="109" bestFit="1" customWidth="1"/>
    <col min="5140" max="5140" width="6.7265625" style="109" customWidth="1"/>
    <col min="5141" max="5141" width="2.7265625" style="109" customWidth="1"/>
    <col min="5142" max="5142" width="5.54296875" style="109" customWidth="1"/>
    <col min="5143" max="5143" width="5.7265625" style="109" customWidth="1"/>
    <col min="5144" max="5144" width="3.26953125" style="109" customWidth="1"/>
    <col min="5145" max="5146" width="6.7265625" style="109" customWidth="1"/>
    <col min="5147" max="5376" width="8.7265625" style="109"/>
    <col min="5377" max="5377" width="7.26953125" style="109" customWidth="1"/>
    <col min="5378" max="5378" width="5.7265625" style="109" customWidth="1"/>
    <col min="5379" max="5379" width="1.453125" style="109" customWidth="1"/>
    <col min="5380" max="5380" width="8.7265625" style="109"/>
    <col min="5381" max="5381" width="4.7265625" style="109" customWidth="1"/>
    <col min="5382" max="5382" width="3.453125" style="109" customWidth="1"/>
    <col min="5383" max="5384" width="5.7265625" style="109" customWidth="1"/>
    <col min="5385" max="5385" width="2" style="109" customWidth="1"/>
    <col min="5386" max="5386" width="3.26953125" style="109" customWidth="1"/>
    <col min="5387" max="5387" width="3" style="109" customWidth="1"/>
    <col min="5388" max="5388" width="1.26953125" style="109" customWidth="1"/>
    <col min="5389" max="5389" width="5.7265625" style="109" customWidth="1"/>
    <col min="5390" max="5390" width="5" style="109" customWidth="1"/>
    <col min="5391" max="5391" width="1.7265625" style="109" customWidth="1"/>
    <col min="5392" max="5392" width="5.7265625" style="109" customWidth="1"/>
    <col min="5393" max="5393" width="7" style="109" customWidth="1"/>
    <col min="5394" max="5394" width="1.7265625" style="109" customWidth="1"/>
    <col min="5395" max="5395" width="23" style="109" bestFit="1" customWidth="1"/>
    <col min="5396" max="5396" width="6.7265625" style="109" customWidth="1"/>
    <col min="5397" max="5397" width="2.7265625" style="109" customWidth="1"/>
    <col min="5398" max="5398" width="5.54296875" style="109" customWidth="1"/>
    <col min="5399" max="5399" width="5.7265625" style="109" customWidth="1"/>
    <col min="5400" max="5400" width="3.26953125" style="109" customWidth="1"/>
    <col min="5401" max="5402" width="6.7265625" style="109" customWidth="1"/>
    <col min="5403" max="5632" width="8.7265625" style="109"/>
    <col min="5633" max="5633" width="7.26953125" style="109" customWidth="1"/>
    <col min="5634" max="5634" width="5.7265625" style="109" customWidth="1"/>
    <col min="5635" max="5635" width="1.453125" style="109" customWidth="1"/>
    <col min="5636" max="5636" width="8.7265625" style="109"/>
    <col min="5637" max="5637" width="4.7265625" style="109" customWidth="1"/>
    <col min="5638" max="5638" width="3.453125" style="109" customWidth="1"/>
    <col min="5639" max="5640" width="5.7265625" style="109" customWidth="1"/>
    <col min="5641" max="5641" width="2" style="109" customWidth="1"/>
    <col min="5642" max="5642" width="3.26953125" style="109" customWidth="1"/>
    <col min="5643" max="5643" width="3" style="109" customWidth="1"/>
    <col min="5644" max="5644" width="1.26953125" style="109" customWidth="1"/>
    <col min="5645" max="5645" width="5.7265625" style="109" customWidth="1"/>
    <col min="5646" max="5646" width="5" style="109" customWidth="1"/>
    <col min="5647" max="5647" width="1.7265625" style="109" customWidth="1"/>
    <col min="5648" max="5648" width="5.7265625" style="109" customWidth="1"/>
    <col min="5649" max="5649" width="7" style="109" customWidth="1"/>
    <col min="5650" max="5650" width="1.7265625" style="109" customWidth="1"/>
    <col min="5651" max="5651" width="23" style="109" bestFit="1" customWidth="1"/>
    <col min="5652" max="5652" width="6.7265625" style="109" customWidth="1"/>
    <col min="5653" max="5653" width="2.7265625" style="109" customWidth="1"/>
    <col min="5654" max="5654" width="5.54296875" style="109" customWidth="1"/>
    <col min="5655" max="5655" width="5.7265625" style="109" customWidth="1"/>
    <col min="5656" max="5656" width="3.26953125" style="109" customWidth="1"/>
    <col min="5657" max="5658" width="6.7265625" style="109" customWidth="1"/>
    <col min="5659" max="5888" width="8.7265625" style="109"/>
    <col min="5889" max="5889" width="7.26953125" style="109" customWidth="1"/>
    <col min="5890" max="5890" width="5.7265625" style="109" customWidth="1"/>
    <col min="5891" max="5891" width="1.453125" style="109" customWidth="1"/>
    <col min="5892" max="5892" width="8.7265625" style="109"/>
    <col min="5893" max="5893" width="4.7265625" style="109" customWidth="1"/>
    <col min="5894" max="5894" width="3.453125" style="109" customWidth="1"/>
    <col min="5895" max="5896" width="5.7265625" style="109" customWidth="1"/>
    <col min="5897" max="5897" width="2" style="109" customWidth="1"/>
    <col min="5898" max="5898" width="3.26953125" style="109" customWidth="1"/>
    <col min="5899" max="5899" width="3" style="109" customWidth="1"/>
    <col min="5900" max="5900" width="1.26953125" style="109" customWidth="1"/>
    <col min="5901" max="5901" width="5.7265625" style="109" customWidth="1"/>
    <col min="5902" max="5902" width="5" style="109" customWidth="1"/>
    <col min="5903" max="5903" width="1.7265625" style="109" customWidth="1"/>
    <col min="5904" max="5904" width="5.7265625" style="109" customWidth="1"/>
    <col min="5905" max="5905" width="7" style="109" customWidth="1"/>
    <col min="5906" max="5906" width="1.7265625" style="109" customWidth="1"/>
    <col min="5907" max="5907" width="23" style="109" bestFit="1" customWidth="1"/>
    <col min="5908" max="5908" width="6.7265625" style="109" customWidth="1"/>
    <col min="5909" max="5909" width="2.7265625" style="109" customWidth="1"/>
    <col min="5910" max="5910" width="5.54296875" style="109" customWidth="1"/>
    <col min="5911" max="5911" width="5.7265625" style="109" customWidth="1"/>
    <col min="5912" max="5912" width="3.26953125" style="109" customWidth="1"/>
    <col min="5913" max="5914" width="6.7265625" style="109" customWidth="1"/>
    <col min="5915" max="6144" width="8.7265625" style="109"/>
    <col min="6145" max="6145" width="7.26953125" style="109" customWidth="1"/>
    <col min="6146" max="6146" width="5.7265625" style="109" customWidth="1"/>
    <col min="6147" max="6147" width="1.453125" style="109" customWidth="1"/>
    <col min="6148" max="6148" width="8.7265625" style="109"/>
    <col min="6149" max="6149" width="4.7265625" style="109" customWidth="1"/>
    <col min="6150" max="6150" width="3.453125" style="109" customWidth="1"/>
    <col min="6151" max="6152" width="5.7265625" style="109" customWidth="1"/>
    <col min="6153" max="6153" width="2" style="109" customWidth="1"/>
    <col min="6154" max="6154" width="3.26953125" style="109" customWidth="1"/>
    <col min="6155" max="6155" width="3" style="109" customWidth="1"/>
    <col min="6156" max="6156" width="1.26953125" style="109" customWidth="1"/>
    <col min="6157" max="6157" width="5.7265625" style="109" customWidth="1"/>
    <col min="6158" max="6158" width="5" style="109" customWidth="1"/>
    <col min="6159" max="6159" width="1.7265625" style="109" customWidth="1"/>
    <col min="6160" max="6160" width="5.7265625" style="109" customWidth="1"/>
    <col min="6161" max="6161" width="7" style="109" customWidth="1"/>
    <col min="6162" max="6162" width="1.7265625" style="109" customWidth="1"/>
    <col min="6163" max="6163" width="23" style="109" bestFit="1" customWidth="1"/>
    <col min="6164" max="6164" width="6.7265625" style="109" customWidth="1"/>
    <col min="6165" max="6165" width="2.7265625" style="109" customWidth="1"/>
    <col min="6166" max="6166" width="5.54296875" style="109" customWidth="1"/>
    <col min="6167" max="6167" width="5.7265625" style="109" customWidth="1"/>
    <col min="6168" max="6168" width="3.26953125" style="109" customWidth="1"/>
    <col min="6169" max="6170" width="6.7265625" style="109" customWidth="1"/>
    <col min="6171" max="6400" width="8.7265625" style="109"/>
    <col min="6401" max="6401" width="7.26953125" style="109" customWidth="1"/>
    <col min="6402" max="6402" width="5.7265625" style="109" customWidth="1"/>
    <col min="6403" max="6403" width="1.453125" style="109" customWidth="1"/>
    <col min="6404" max="6404" width="8.7265625" style="109"/>
    <col min="6405" max="6405" width="4.7265625" style="109" customWidth="1"/>
    <col min="6406" max="6406" width="3.453125" style="109" customWidth="1"/>
    <col min="6407" max="6408" width="5.7265625" style="109" customWidth="1"/>
    <col min="6409" max="6409" width="2" style="109" customWidth="1"/>
    <col min="6410" max="6410" width="3.26953125" style="109" customWidth="1"/>
    <col min="6411" max="6411" width="3" style="109" customWidth="1"/>
    <col min="6412" max="6412" width="1.26953125" style="109" customWidth="1"/>
    <col min="6413" max="6413" width="5.7265625" style="109" customWidth="1"/>
    <col min="6414" max="6414" width="5" style="109" customWidth="1"/>
    <col min="6415" max="6415" width="1.7265625" style="109" customWidth="1"/>
    <col min="6416" max="6416" width="5.7265625" style="109" customWidth="1"/>
    <col min="6417" max="6417" width="7" style="109" customWidth="1"/>
    <col min="6418" max="6418" width="1.7265625" style="109" customWidth="1"/>
    <col min="6419" max="6419" width="23" style="109" bestFit="1" customWidth="1"/>
    <col min="6420" max="6420" width="6.7265625" style="109" customWidth="1"/>
    <col min="6421" max="6421" width="2.7265625" style="109" customWidth="1"/>
    <col min="6422" max="6422" width="5.54296875" style="109" customWidth="1"/>
    <col min="6423" max="6423" width="5.7265625" style="109" customWidth="1"/>
    <col min="6424" max="6424" width="3.26953125" style="109" customWidth="1"/>
    <col min="6425" max="6426" width="6.7265625" style="109" customWidth="1"/>
    <col min="6427" max="6656" width="8.7265625" style="109"/>
    <col min="6657" max="6657" width="7.26953125" style="109" customWidth="1"/>
    <col min="6658" max="6658" width="5.7265625" style="109" customWidth="1"/>
    <col min="6659" max="6659" width="1.453125" style="109" customWidth="1"/>
    <col min="6660" max="6660" width="8.7265625" style="109"/>
    <col min="6661" max="6661" width="4.7265625" style="109" customWidth="1"/>
    <col min="6662" max="6662" width="3.453125" style="109" customWidth="1"/>
    <col min="6663" max="6664" width="5.7265625" style="109" customWidth="1"/>
    <col min="6665" max="6665" width="2" style="109" customWidth="1"/>
    <col min="6666" max="6666" width="3.26953125" style="109" customWidth="1"/>
    <col min="6667" max="6667" width="3" style="109" customWidth="1"/>
    <col min="6668" max="6668" width="1.26953125" style="109" customWidth="1"/>
    <col min="6669" max="6669" width="5.7265625" style="109" customWidth="1"/>
    <col min="6670" max="6670" width="5" style="109" customWidth="1"/>
    <col min="6671" max="6671" width="1.7265625" style="109" customWidth="1"/>
    <col min="6672" max="6672" width="5.7265625" style="109" customWidth="1"/>
    <col min="6673" max="6673" width="7" style="109" customWidth="1"/>
    <col min="6674" max="6674" width="1.7265625" style="109" customWidth="1"/>
    <col min="6675" max="6675" width="23" style="109" bestFit="1" customWidth="1"/>
    <col min="6676" max="6676" width="6.7265625" style="109" customWidth="1"/>
    <col min="6677" max="6677" width="2.7265625" style="109" customWidth="1"/>
    <col min="6678" max="6678" width="5.54296875" style="109" customWidth="1"/>
    <col min="6679" max="6679" width="5.7265625" style="109" customWidth="1"/>
    <col min="6680" max="6680" width="3.26953125" style="109" customWidth="1"/>
    <col min="6681" max="6682" width="6.7265625" style="109" customWidth="1"/>
    <col min="6683" max="6912" width="8.7265625" style="109"/>
    <col min="6913" max="6913" width="7.26953125" style="109" customWidth="1"/>
    <col min="6914" max="6914" width="5.7265625" style="109" customWidth="1"/>
    <col min="6915" max="6915" width="1.453125" style="109" customWidth="1"/>
    <col min="6916" max="6916" width="8.7265625" style="109"/>
    <col min="6917" max="6917" width="4.7265625" style="109" customWidth="1"/>
    <col min="6918" max="6918" width="3.453125" style="109" customWidth="1"/>
    <col min="6919" max="6920" width="5.7265625" style="109" customWidth="1"/>
    <col min="6921" max="6921" width="2" style="109" customWidth="1"/>
    <col min="6922" max="6922" width="3.26953125" style="109" customWidth="1"/>
    <col min="6923" max="6923" width="3" style="109" customWidth="1"/>
    <col min="6924" max="6924" width="1.26953125" style="109" customWidth="1"/>
    <col min="6925" max="6925" width="5.7265625" style="109" customWidth="1"/>
    <col min="6926" max="6926" width="5" style="109" customWidth="1"/>
    <col min="6927" max="6927" width="1.7265625" style="109" customWidth="1"/>
    <col min="6928" max="6928" width="5.7265625" style="109" customWidth="1"/>
    <col min="6929" max="6929" width="7" style="109" customWidth="1"/>
    <col min="6930" max="6930" width="1.7265625" style="109" customWidth="1"/>
    <col min="6931" max="6931" width="23" style="109" bestFit="1" customWidth="1"/>
    <col min="6932" max="6932" width="6.7265625" style="109" customWidth="1"/>
    <col min="6933" max="6933" width="2.7265625" style="109" customWidth="1"/>
    <col min="6934" max="6934" width="5.54296875" style="109" customWidth="1"/>
    <col min="6935" max="6935" width="5.7265625" style="109" customWidth="1"/>
    <col min="6936" max="6936" width="3.26953125" style="109" customWidth="1"/>
    <col min="6937" max="6938" width="6.7265625" style="109" customWidth="1"/>
    <col min="6939" max="7168" width="8.7265625" style="109"/>
    <col min="7169" max="7169" width="7.26953125" style="109" customWidth="1"/>
    <col min="7170" max="7170" width="5.7265625" style="109" customWidth="1"/>
    <col min="7171" max="7171" width="1.453125" style="109" customWidth="1"/>
    <col min="7172" max="7172" width="8.7265625" style="109"/>
    <col min="7173" max="7173" width="4.7265625" style="109" customWidth="1"/>
    <col min="7174" max="7174" width="3.453125" style="109" customWidth="1"/>
    <col min="7175" max="7176" width="5.7265625" style="109" customWidth="1"/>
    <col min="7177" max="7177" width="2" style="109" customWidth="1"/>
    <col min="7178" max="7178" width="3.26953125" style="109" customWidth="1"/>
    <col min="7179" max="7179" width="3" style="109" customWidth="1"/>
    <col min="7180" max="7180" width="1.26953125" style="109" customWidth="1"/>
    <col min="7181" max="7181" width="5.7265625" style="109" customWidth="1"/>
    <col min="7182" max="7182" width="5" style="109" customWidth="1"/>
    <col min="7183" max="7183" width="1.7265625" style="109" customWidth="1"/>
    <col min="7184" max="7184" width="5.7265625" style="109" customWidth="1"/>
    <col min="7185" max="7185" width="7" style="109" customWidth="1"/>
    <col min="7186" max="7186" width="1.7265625" style="109" customWidth="1"/>
    <col min="7187" max="7187" width="23" style="109" bestFit="1" customWidth="1"/>
    <col min="7188" max="7188" width="6.7265625" style="109" customWidth="1"/>
    <col min="7189" max="7189" width="2.7265625" style="109" customWidth="1"/>
    <col min="7190" max="7190" width="5.54296875" style="109" customWidth="1"/>
    <col min="7191" max="7191" width="5.7265625" style="109" customWidth="1"/>
    <col min="7192" max="7192" width="3.26953125" style="109" customWidth="1"/>
    <col min="7193" max="7194" width="6.7265625" style="109" customWidth="1"/>
    <col min="7195" max="7424" width="8.7265625" style="109"/>
    <col min="7425" max="7425" width="7.26953125" style="109" customWidth="1"/>
    <col min="7426" max="7426" width="5.7265625" style="109" customWidth="1"/>
    <col min="7427" max="7427" width="1.453125" style="109" customWidth="1"/>
    <col min="7428" max="7428" width="8.7265625" style="109"/>
    <col min="7429" max="7429" width="4.7265625" style="109" customWidth="1"/>
    <col min="7430" max="7430" width="3.453125" style="109" customWidth="1"/>
    <col min="7431" max="7432" width="5.7265625" style="109" customWidth="1"/>
    <col min="7433" max="7433" width="2" style="109" customWidth="1"/>
    <col min="7434" max="7434" width="3.26953125" style="109" customWidth="1"/>
    <col min="7435" max="7435" width="3" style="109" customWidth="1"/>
    <col min="7436" max="7436" width="1.26953125" style="109" customWidth="1"/>
    <col min="7437" max="7437" width="5.7265625" style="109" customWidth="1"/>
    <col min="7438" max="7438" width="5" style="109" customWidth="1"/>
    <col min="7439" max="7439" width="1.7265625" style="109" customWidth="1"/>
    <col min="7440" max="7440" width="5.7265625" style="109" customWidth="1"/>
    <col min="7441" max="7441" width="7" style="109" customWidth="1"/>
    <col min="7442" max="7442" width="1.7265625" style="109" customWidth="1"/>
    <col min="7443" max="7443" width="23" style="109" bestFit="1" customWidth="1"/>
    <col min="7444" max="7444" width="6.7265625" style="109" customWidth="1"/>
    <col min="7445" max="7445" width="2.7265625" style="109" customWidth="1"/>
    <col min="7446" max="7446" width="5.54296875" style="109" customWidth="1"/>
    <col min="7447" max="7447" width="5.7265625" style="109" customWidth="1"/>
    <col min="7448" max="7448" width="3.26953125" style="109" customWidth="1"/>
    <col min="7449" max="7450" width="6.7265625" style="109" customWidth="1"/>
    <col min="7451" max="7680" width="8.7265625" style="109"/>
    <col min="7681" max="7681" width="7.26953125" style="109" customWidth="1"/>
    <col min="7682" max="7682" width="5.7265625" style="109" customWidth="1"/>
    <col min="7683" max="7683" width="1.453125" style="109" customWidth="1"/>
    <col min="7684" max="7684" width="8.7265625" style="109"/>
    <col min="7685" max="7685" width="4.7265625" style="109" customWidth="1"/>
    <col min="7686" max="7686" width="3.453125" style="109" customWidth="1"/>
    <col min="7687" max="7688" width="5.7265625" style="109" customWidth="1"/>
    <col min="7689" max="7689" width="2" style="109" customWidth="1"/>
    <col min="7690" max="7690" width="3.26953125" style="109" customWidth="1"/>
    <col min="7691" max="7691" width="3" style="109" customWidth="1"/>
    <col min="7692" max="7692" width="1.26953125" style="109" customWidth="1"/>
    <col min="7693" max="7693" width="5.7265625" style="109" customWidth="1"/>
    <col min="7694" max="7694" width="5" style="109" customWidth="1"/>
    <col min="7695" max="7695" width="1.7265625" style="109" customWidth="1"/>
    <col min="7696" max="7696" width="5.7265625" style="109" customWidth="1"/>
    <col min="7697" max="7697" width="7" style="109" customWidth="1"/>
    <col min="7698" max="7698" width="1.7265625" style="109" customWidth="1"/>
    <col min="7699" max="7699" width="23" style="109" bestFit="1" customWidth="1"/>
    <col min="7700" max="7700" width="6.7265625" style="109" customWidth="1"/>
    <col min="7701" max="7701" width="2.7265625" style="109" customWidth="1"/>
    <col min="7702" max="7702" width="5.54296875" style="109" customWidth="1"/>
    <col min="7703" max="7703" width="5.7265625" style="109" customWidth="1"/>
    <col min="7704" max="7704" width="3.26953125" style="109" customWidth="1"/>
    <col min="7705" max="7706" width="6.7265625" style="109" customWidth="1"/>
    <col min="7707" max="7936" width="8.7265625" style="109"/>
    <col min="7937" max="7937" width="7.26953125" style="109" customWidth="1"/>
    <col min="7938" max="7938" width="5.7265625" style="109" customWidth="1"/>
    <col min="7939" max="7939" width="1.453125" style="109" customWidth="1"/>
    <col min="7940" max="7940" width="8.7265625" style="109"/>
    <col min="7941" max="7941" width="4.7265625" style="109" customWidth="1"/>
    <col min="7942" max="7942" width="3.453125" style="109" customWidth="1"/>
    <col min="7943" max="7944" width="5.7265625" style="109" customWidth="1"/>
    <col min="7945" max="7945" width="2" style="109" customWidth="1"/>
    <col min="7946" max="7946" width="3.26953125" style="109" customWidth="1"/>
    <col min="7947" max="7947" width="3" style="109" customWidth="1"/>
    <col min="7948" max="7948" width="1.26953125" style="109" customWidth="1"/>
    <col min="7949" max="7949" width="5.7265625" style="109" customWidth="1"/>
    <col min="7950" max="7950" width="5" style="109" customWidth="1"/>
    <col min="7951" max="7951" width="1.7265625" style="109" customWidth="1"/>
    <col min="7952" max="7952" width="5.7265625" style="109" customWidth="1"/>
    <col min="7953" max="7953" width="7" style="109" customWidth="1"/>
    <col min="7954" max="7954" width="1.7265625" style="109" customWidth="1"/>
    <col min="7955" max="7955" width="23" style="109" bestFit="1" customWidth="1"/>
    <col min="7956" max="7956" width="6.7265625" style="109" customWidth="1"/>
    <col min="7957" max="7957" width="2.7265625" style="109" customWidth="1"/>
    <col min="7958" max="7958" width="5.54296875" style="109" customWidth="1"/>
    <col min="7959" max="7959" width="5.7265625" style="109" customWidth="1"/>
    <col min="7960" max="7960" width="3.26953125" style="109" customWidth="1"/>
    <col min="7961" max="7962" width="6.7265625" style="109" customWidth="1"/>
    <col min="7963" max="8192" width="8.7265625" style="109"/>
    <col min="8193" max="8193" width="7.26953125" style="109" customWidth="1"/>
    <col min="8194" max="8194" width="5.7265625" style="109" customWidth="1"/>
    <col min="8195" max="8195" width="1.453125" style="109" customWidth="1"/>
    <col min="8196" max="8196" width="8.7265625" style="109"/>
    <col min="8197" max="8197" width="4.7265625" style="109" customWidth="1"/>
    <col min="8198" max="8198" width="3.453125" style="109" customWidth="1"/>
    <col min="8199" max="8200" width="5.7265625" style="109" customWidth="1"/>
    <col min="8201" max="8201" width="2" style="109" customWidth="1"/>
    <col min="8202" max="8202" width="3.26953125" style="109" customWidth="1"/>
    <col min="8203" max="8203" width="3" style="109" customWidth="1"/>
    <col min="8204" max="8204" width="1.26953125" style="109" customWidth="1"/>
    <col min="8205" max="8205" width="5.7265625" style="109" customWidth="1"/>
    <col min="8206" max="8206" width="5" style="109" customWidth="1"/>
    <col min="8207" max="8207" width="1.7265625" style="109" customWidth="1"/>
    <col min="8208" max="8208" width="5.7265625" style="109" customWidth="1"/>
    <col min="8209" max="8209" width="7" style="109" customWidth="1"/>
    <col min="8210" max="8210" width="1.7265625" style="109" customWidth="1"/>
    <col min="8211" max="8211" width="23" style="109" bestFit="1" customWidth="1"/>
    <col min="8212" max="8212" width="6.7265625" style="109" customWidth="1"/>
    <col min="8213" max="8213" width="2.7265625" style="109" customWidth="1"/>
    <col min="8214" max="8214" width="5.54296875" style="109" customWidth="1"/>
    <col min="8215" max="8215" width="5.7265625" style="109" customWidth="1"/>
    <col min="8216" max="8216" width="3.26953125" style="109" customWidth="1"/>
    <col min="8217" max="8218" width="6.7265625" style="109" customWidth="1"/>
    <col min="8219" max="8448" width="8.7265625" style="109"/>
    <col min="8449" max="8449" width="7.26953125" style="109" customWidth="1"/>
    <col min="8450" max="8450" width="5.7265625" style="109" customWidth="1"/>
    <col min="8451" max="8451" width="1.453125" style="109" customWidth="1"/>
    <col min="8452" max="8452" width="8.7265625" style="109"/>
    <col min="8453" max="8453" width="4.7265625" style="109" customWidth="1"/>
    <col min="8454" max="8454" width="3.453125" style="109" customWidth="1"/>
    <col min="8455" max="8456" width="5.7265625" style="109" customWidth="1"/>
    <col min="8457" max="8457" width="2" style="109" customWidth="1"/>
    <col min="8458" max="8458" width="3.26953125" style="109" customWidth="1"/>
    <col min="8459" max="8459" width="3" style="109" customWidth="1"/>
    <col min="8460" max="8460" width="1.26953125" style="109" customWidth="1"/>
    <col min="8461" max="8461" width="5.7265625" style="109" customWidth="1"/>
    <col min="8462" max="8462" width="5" style="109" customWidth="1"/>
    <col min="8463" max="8463" width="1.7265625" style="109" customWidth="1"/>
    <col min="8464" max="8464" width="5.7265625" style="109" customWidth="1"/>
    <col min="8465" max="8465" width="7" style="109" customWidth="1"/>
    <col min="8466" max="8466" width="1.7265625" style="109" customWidth="1"/>
    <col min="8467" max="8467" width="23" style="109" bestFit="1" customWidth="1"/>
    <col min="8468" max="8468" width="6.7265625" style="109" customWidth="1"/>
    <col min="8469" max="8469" width="2.7265625" style="109" customWidth="1"/>
    <col min="8470" max="8470" width="5.54296875" style="109" customWidth="1"/>
    <col min="8471" max="8471" width="5.7265625" style="109" customWidth="1"/>
    <col min="8472" max="8472" width="3.26953125" style="109" customWidth="1"/>
    <col min="8473" max="8474" width="6.7265625" style="109" customWidth="1"/>
    <col min="8475" max="8704" width="8.7265625" style="109"/>
    <col min="8705" max="8705" width="7.26953125" style="109" customWidth="1"/>
    <col min="8706" max="8706" width="5.7265625" style="109" customWidth="1"/>
    <col min="8707" max="8707" width="1.453125" style="109" customWidth="1"/>
    <col min="8708" max="8708" width="8.7265625" style="109"/>
    <col min="8709" max="8709" width="4.7265625" style="109" customWidth="1"/>
    <col min="8710" max="8710" width="3.453125" style="109" customWidth="1"/>
    <col min="8711" max="8712" width="5.7265625" style="109" customWidth="1"/>
    <col min="8713" max="8713" width="2" style="109" customWidth="1"/>
    <col min="8714" max="8714" width="3.26953125" style="109" customWidth="1"/>
    <col min="8715" max="8715" width="3" style="109" customWidth="1"/>
    <col min="8716" max="8716" width="1.26953125" style="109" customWidth="1"/>
    <col min="8717" max="8717" width="5.7265625" style="109" customWidth="1"/>
    <col min="8718" max="8718" width="5" style="109" customWidth="1"/>
    <col min="8719" max="8719" width="1.7265625" style="109" customWidth="1"/>
    <col min="8720" max="8720" width="5.7265625" style="109" customWidth="1"/>
    <col min="8721" max="8721" width="7" style="109" customWidth="1"/>
    <col min="8722" max="8722" width="1.7265625" style="109" customWidth="1"/>
    <col min="8723" max="8723" width="23" style="109" bestFit="1" customWidth="1"/>
    <col min="8724" max="8724" width="6.7265625" style="109" customWidth="1"/>
    <col min="8725" max="8725" width="2.7265625" style="109" customWidth="1"/>
    <col min="8726" max="8726" width="5.54296875" style="109" customWidth="1"/>
    <col min="8727" max="8727" width="5.7265625" style="109" customWidth="1"/>
    <col min="8728" max="8728" width="3.26953125" style="109" customWidth="1"/>
    <col min="8729" max="8730" width="6.7265625" style="109" customWidth="1"/>
    <col min="8731" max="8960" width="8.7265625" style="109"/>
    <col min="8961" max="8961" width="7.26953125" style="109" customWidth="1"/>
    <col min="8962" max="8962" width="5.7265625" style="109" customWidth="1"/>
    <col min="8963" max="8963" width="1.453125" style="109" customWidth="1"/>
    <col min="8964" max="8964" width="8.7265625" style="109"/>
    <col min="8965" max="8965" width="4.7265625" style="109" customWidth="1"/>
    <col min="8966" max="8966" width="3.453125" style="109" customWidth="1"/>
    <col min="8967" max="8968" width="5.7265625" style="109" customWidth="1"/>
    <col min="8969" max="8969" width="2" style="109" customWidth="1"/>
    <col min="8970" max="8970" width="3.26953125" style="109" customWidth="1"/>
    <col min="8971" max="8971" width="3" style="109" customWidth="1"/>
    <col min="8972" max="8972" width="1.26953125" style="109" customWidth="1"/>
    <col min="8973" max="8973" width="5.7265625" style="109" customWidth="1"/>
    <col min="8974" max="8974" width="5" style="109" customWidth="1"/>
    <col min="8975" max="8975" width="1.7265625" style="109" customWidth="1"/>
    <col min="8976" max="8976" width="5.7265625" style="109" customWidth="1"/>
    <col min="8977" max="8977" width="7" style="109" customWidth="1"/>
    <col min="8978" max="8978" width="1.7265625" style="109" customWidth="1"/>
    <col min="8979" max="8979" width="23" style="109" bestFit="1" customWidth="1"/>
    <col min="8980" max="8980" width="6.7265625" style="109" customWidth="1"/>
    <col min="8981" max="8981" width="2.7265625" style="109" customWidth="1"/>
    <col min="8982" max="8982" width="5.54296875" style="109" customWidth="1"/>
    <col min="8983" max="8983" width="5.7265625" style="109" customWidth="1"/>
    <col min="8984" max="8984" width="3.26953125" style="109" customWidth="1"/>
    <col min="8985" max="8986" width="6.7265625" style="109" customWidth="1"/>
    <col min="8987" max="9216" width="8.7265625" style="109"/>
    <col min="9217" max="9217" width="7.26953125" style="109" customWidth="1"/>
    <col min="9218" max="9218" width="5.7265625" style="109" customWidth="1"/>
    <col min="9219" max="9219" width="1.453125" style="109" customWidth="1"/>
    <col min="9220" max="9220" width="8.7265625" style="109"/>
    <col min="9221" max="9221" width="4.7265625" style="109" customWidth="1"/>
    <col min="9222" max="9222" width="3.453125" style="109" customWidth="1"/>
    <col min="9223" max="9224" width="5.7265625" style="109" customWidth="1"/>
    <col min="9225" max="9225" width="2" style="109" customWidth="1"/>
    <col min="9226" max="9226" width="3.26953125" style="109" customWidth="1"/>
    <col min="9227" max="9227" width="3" style="109" customWidth="1"/>
    <col min="9228" max="9228" width="1.26953125" style="109" customWidth="1"/>
    <col min="9229" max="9229" width="5.7265625" style="109" customWidth="1"/>
    <col min="9230" max="9230" width="5" style="109" customWidth="1"/>
    <col min="9231" max="9231" width="1.7265625" style="109" customWidth="1"/>
    <col min="9232" max="9232" width="5.7265625" style="109" customWidth="1"/>
    <col min="9233" max="9233" width="7" style="109" customWidth="1"/>
    <col min="9234" max="9234" width="1.7265625" style="109" customWidth="1"/>
    <col min="9235" max="9235" width="23" style="109" bestFit="1" customWidth="1"/>
    <col min="9236" max="9236" width="6.7265625" style="109" customWidth="1"/>
    <col min="9237" max="9237" width="2.7265625" style="109" customWidth="1"/>
    <col min="9238" max="9238" width="5.54296875" style="109" customWidth="1"/>
    <col min="9239" max="9239" width="5.7265625" style="109" customWidth="1"/>
    <col min="9240" max="9240" width="3.26953125" style="109" customWidth="1"/>
    <col min="9241" max="9242" width="6.7265625" style="109" customWidth="1"/>
    <col min="9243" max="9472" width="8.7265625" style="109"/>
    <col min="9473" max="9473" width="7.26953125" style="109" customWidth="1"/>
    <col min="9474" max="9474" width="5.7265625" style="109" customWidth="1"/>
    <col min="9475" max="9475" width="1.453125" style="109" customWidth="1"/>
    <col min="9476" max="9476" width="8.7265625" style="109"/>
    <col min="9477" max="9477" width="4.7265625" style="109" customWidth="1"/>
    <col min="9478" max="9478" width="3.453125" style="109" customWidth="1"/>
    <col min="9479" max="9480" width="5.7265625" style="109" customWidth="1"/>
    <col min="9481" max="9481" width="2" style="109" customWidth="1"/>
    <col min="9482" max="9482" width="3.26953125" style="109" customWidth="1"/>
    <col min="9483" max="9483" width="3" style="109" customWidth="1"/>
    <col min="9484" max="9484" width="1.26953125" style="109" customWidth="1"/>
    <col min="9485" max="9485" width="5.7265625" style="109" customWidth="1"/>
    <col min="9486" max="9486" width="5" style="109" customWidth="1"/>
    <col min="9487" max="9487" width="1.7265625" style="109" customWidth="1"/>
    <col min="9488" max="9488" width="5.7265625" style="109" customWidth="1"/>
    <col min="9489" max="9489" width="7" style="109" customWidth="1"/>
    <col min="9490" max="9490" width="1.7265625" style="109" customWidth="1"/>
    <col min="9491" max="9491" width="23" style="109" bestFit="1" customWidth="1"/>
    <col min="9492" max="9492" width="6.7265625" style="109" customWidth="1"/>
    <col min="9493" max="9493" width="2.7265625" style="109" customWidth="1"/>
    <col min="9494" max="9494" width="5.54296875" style="109" customWidth="1"/>
    <col min="9495" max="9495" width="5.7265625" style="109" customWidth="1"/>
    <col min="9496" max="9496" width="3.26953125" style="109" customWidth="1"/>
    <col min="9497" max="9498" width="6.7265625" style="109" customWidth="1"/>
    <col min="9499" max="9728" width="8.7265625" style="109"/>
    <col min="9729" max="9729" width="7.26953125" style="109" customWidth="1"/>
    <col min="9730" max="9730" width="5.7265625" style="109" customWidth="1"/>
    <col min="9731" max="9731" width="1.453125" style="109" customWidth="1"/>
    <col min="9732" max="9732" width="8.7265625" style="109"/>
    <col min="9733" max="9733" width="4.7265625" style="109" customWidth="1"/>
    <col min="9734" max="9734" width="3.453125" style="109" customWidth="1"/>
    <col min="9735" max="9736" width="5.7265625" style="109" customWidth="1"/>
    <col min="9737" max="9737" width="2" style="109" customWidth="1"/>
    <col min="9738" max="9738" width="3.26953125" style="109" customWidth="1"/>
    <col min="9739" max="9739" width="3" style="109" customWidth="1"/>
    <col min="9740" max="9740" width="1.26953125" style="109" customWidth="1"/>
    <col min="9741" max="9741" width="5.7265625" style="109" customWidth="1"/>
    <col min="9742" max="9742" width="5" style="109" customWidth="1"/>
    <col min="9743" max="9743" width="1.7265625" style="109" customWidth="1"/>
    <col min="9744" max="9744" width="5.7265625" style="109" customWidth="1"/>
    <col min="9745" max="9745" width="7" style="109" customWidth="1"/>
    <col min="9746" max="9746" width="1.7265625" style="109" customWidth="1"/>
    <col min="9747" max="9747" width="23" style="109" bestFit="1" customWidth="1"/>
    <col min="9748" max="9748" width="6.7265625" style="109" customWidth="1"/>
    <col min="9749" max="9749" width="2.7265625" style="109" customWidth="1"/>
    <col min="9750" max="9750" width="5.54296875" style="109" customWidth="1"/>
    <col min="9751" max="9751" width="5.7265625" style="109" customWidth="1"/>
    <col min="9752" max="9752" width="3.26953125" style="109" customWidth="1"/>
    <col min="9753" max="9754" width="6.7265625" style="109" customWidth="1"/>
    <col min="9755" max="9984" width="8.7265625" style="109"/>
    <col min="9985" max="9985" width="7.26953125" style="109" customWidth="1"/>
    <col min="9986" max="9986" width="5.7265625" style="109" customWidth="1"/>
    <col min="9987" max="9987" width="1.453125" style="109" customWidth="1"/>
    <col min="9988" max="9988" width="8.7265625" style="109"/>
    <col min="9989" max="9989" width="4.7265625" style="109" customWidth="1"/>
    <col min="9990" max="9990" width="3.453125" style="109" customWidth="1"/>
    <col min="9991" max="9992" width="5.7265625" style="109" customWidth="1"/>
    <col min="9993" max="9993" width="2" style="109" customWidth="1"/>
    <col min="9994" max="9994" width="3.26953125" style="109" customWidth="1"/>
    <col min="9995" max="9995" width="3" style="109" customWidth="1"/>
    <col min="9996" max="9996" width="1.26953125" style="109" customWidth="1"/>
    <col min="9997" max="9997" width="5.7265625" style="109" customWidth="1"/>
    <col min="9998" max="9998" width="5" style="109" customWidth="1"/>
    <col min="9999" max="9999" width="1.7265625" style="109" customWidth="1"/>
    <col min="10000" max="10000" width="5.7265625" style="109" customWidth="1"/>
    <col min="10001" max="10001" width="7" style="109" customWidth="1"/>
    <col min="10002" max="10002" width="1.7265625" style="109" customWidth="1"/>
    <col min="10003" max="10003" width="23" style="109" bestFit="1" customWidth="1"/>
    <col min="10004" max="10004" width="6.7265625" style="109" customWidth="1"/>
    <col min="10005" max="10005" width="2.7265625" style="109" customWidth="1"/>
    <col min="10006" max="10006" width="5.54296875" style="109" customWidth="1"/>
    <col min="10007" max="10007" width="5.7265625" style="109" customWidth="1"/>
    <col min="10008" max="10008" width="3.26953125" style="109" customWidth="1"/>
    <col min="10009" max="10010" width="6.7265625" style="109" customWidth="1"/>
    <col min="10011" max="10240" width="8.7265625" style="109"/>
    <col min="10241" max="10241" width="7.26953125" style="109" customWidth="1"/>
    <col min="10242" max="10242" width="5.7265625" style="109" customWidth="1"/>
    <col min="10243" max="10243" width="1.453125" style="109" customWidth="1"/>
    <col min="10244" max="10244" width="8.7265625" style="109"/>
    <col min="10245" max="10245" width="4.7265625" style="109" customWidth="1"/>
    <col min="10246" max="10246" width="3.453125" style="109" customWidth="1"/>
    <col min="10247" max="10248" width="5.7265625" style="109" customWidth="1"/>
    <col min="10249" max="10249" width="2" style="109" customWidth="1"/>
    <col min="10250" max="10250" width="3.26953125" style="109" customWidth="1"/>
    <col min="10251" max="10251" width="3" style="109" customWidth="1"/>
    <col min="10252" max="10252" width="1.26953125" style="109" customWidth="1"/>
    <col min="10253" max="10253" width="5.7265625" style="109" customWidth="1"/>
    <col min="10254" max="10254" width="5" style="109" customWidth="1"/>
    <col min="10255" max="10255" width="1.7265625" style="109" customWidth="1"/>
    <col min="10256" max="10256" width="5.7265625" style="109" customWidth="1"/>
    <col min="10257" max="10257" width="7" style="109" customWidth="1"/>
    <col min="10258" max="10258" width="1.7265625" style="109" customWidth="1"/>
    <col min="10259" max="10259" width="23" style="109" bestFit="1" customWidth="1"/>
    <col min="10260" max="10260" width="6.7265625" style="109" customWidth="1"/>
    <col min="10261" max="10261" width="2.7265625" style="109" customWidth="1"/>
    <col min="10262" max="10262" width="5.54296875" style="109" customWidth="1"/>
    <col min="10263" max="10263" width="5.7265625" style="109" customWidth="1"/>
    <col min="10264" max="10264" width="3.26953125" style="109" customWidth="1"/>
    <col min="10265" max="10266" width="6.7265625" style="109" customWidth="1"/>
    <col min="10267" max="10496" width="8.7265625" style="109"/>
    <col min="10497" max="10497" width="7.26953125" style="109" customWidth="1"/>
    <col min="10498" max="10498" width="5.7265625" style="109" customWidth="1"/>
    <col min="10499" max="10499" width="1.453125" style="109" customWidth="1"/>
    <col min="10500" max="10500" width="8.7265625" style="109"/>
    <col min="10501" max="10501" width="4.7265625" style="109" customWidth="1"/>
    <col min="10502" max="10502" width="3.453125" style="109" customWidth="1"/>
    <col min="10503" max="10504" width="5.7265625" style="109" customWidth="1"/>
    <col min="10505" max="10505" width="2" style="109" customWidth="1"/>
    <col min="10506" max="10506" width="3.26953125" style="109" customWidth="1"/>
    <col min="10507" max="10507" width="3" style="109" customWidth="1"/>
    <col min="10508" max="10508" width="1.26953125" style="109" customWidth="1"/>
    <col min="10509" max="10509" width="5.7265625" style="109" customWidth="1"/>
    <col min="10510" max="10510" width="5" style="109" customWidth="1"/>
    <col min="10511" max="10511" width="1.7265625" style="109" customWidth="1"/>
    <col min="10512" max="10512" width="5.7265625" style="109" customWidth="1"/>
    <col min="10513" max="10513" width="7" style="109" customWidth="1"/>
    <col min="10514" max="10514" width="1.7265625" style="109" customWidth="1"/>
    <col min="10515" max="10515" width="23" style="109" bestFit="1" customWidth="1"/>
    <col min="10516" max="10516" width="6.7265625" style="109" customWidth="1"/>
    <col min="10517" max="10517" width="2.7265625" style="109" customWidth="1"/>
    <col min="10518" max="10518" width="5.54296875" style="109" customWidth="1"/>
    <col min="10519" max="10519" width="5.7265625" style="109" customWidth="1"/>
    <col min="10520" max="10520" width="3.26953125" style="109" customWidth="1"/>
    <col min="10521" max="10522" width="6.7265625" style="109" customWidth="1"/>
    <col min="10523" max="10752" width="8.7265625" style="109"/>
    <col min="10753" max="10753" width="7.26953125" style="109" customWidth="1"/>
    <col min="10754" max="10754" width="5.7265625" style="109" customWidth="1"/>
    <col min="10755" max="10755" width="1.453125" style="109" customWidth="1"/>
    <col min="10756" max="10756" width="8.7265625" style="109"/>
    <col min="10757" max="10757" width="4.7265625" style="109" customWidth="1"/>
    <col min="10758" max="10758" width="3.453125" style="109" customWidth="1"/>
    <col min="10759" max="10760" width="5.7265625" style="109" customWidth="1"/>
    <col min="10761" max="10761" width="2" style="109" customWidth="1"/>
    <col min="10762" max="10762" width="3.26953125" style="109" customWidth="1"/>
    <col min="10763" max="10763" width="3" style="109" customWidth="1"/>
    <col min="10764" max="10764" width="1.26953125" style="109" customWidth="1"/>
    <col min="10765" max="10765" width="5.7265625" style="109" customWidth="1"/>
    <col min="10766" max="10766" width="5" style="109" customWidth="1"/>
    <col min="10767" max="10767" width="1.7265625" style="109" customWidth="1"/>
    <col min="10768" max="10768" width="5.7265625" style="109" customWidth="1"/>
    <col min="10769" max="10769" width="7" style="109" customWidth="1"/>
    <col min="10770" max="10770" width="1.7265625" style="109" customWidth="1"/>
    <col min="10771" max="10771" width="23" style="109" bestFit="1" customWidth="1"/>
    <col min="10772" max="10772" width="6.7265625" style="109" customWidth="1"/>
    <col min="10773" max="10773" width="2.7265625" style="109" customWidth="1"/>
    <col min="10774" max="10774" width="5.54296875" style="109" customWidth="1"/>
    <col min="10775" max="10775" width="5.7265625" style="109" customWidth="1"/>
    <col min="10776" max="10776" width="3.26953125" style="109" customWidth="1"/>
    <col min="10777" max="10778" width="6.7265625" style="109" customWidth="1"/>
    <col min="10779" max="11008" width="8.7265625" style="109"/>
    <col min="11009" max="11009" width="7.26953125" style="109" customWidth="1"/>
    <col min="11010" max="11010" width="5.7265625" style="109" customWidth="1"/>
    <col min="11011" max="11011" width="1.453125" style="109" customWidth="1"/>
    <col min="11012" max="11012" width="8.7265625" style="109"/>
    <col min="11013" max="11013" width="4.7265625" style="109" customWidth="1"/>
    <col min="11014" max="11014" width="3.453125" style="109" customWidth="1"/>
    <col min="11015" max="11016" width="5.7265625" style="109" customWidth="1"/>
    <col min="11017" max="11017" width="2" style="109" customWidth="1"/>
    <col min="11018" max="11018" width="3.26953125" style="109" customWidth="1"/>
    <col min="11019" max="11019" width="3" style="109" customWidth="1"/>
    <col min="11020" max="11020" width="1.26953125" style="109" customWidth="1"/>
    <col min="11021" max="11021" width="5.7265625" style="109" customWidth="1"/>
    <col min="11022" max="11022" width="5" style="109" customWidth="1"/>
    <col min="11023" max="11023" width="1.7265625" style="109" customWidth="1"/>
    <col min="11024" max="11024" width="5.7265625" style="109" customWidth="1"/>
    <col min="11025" max="11025" width="7" style="109" customWidth="1"/>
    <col min="11026" max="11026" width="1.7265625" style="109" customWidth="1"/>
    <col min="11027" max="11027" width="23" style="109" bestFit="1" customWidth="1"/>
    <col min="11028" max="11028" width="6.7265625" style="109" customWidth="1"/>
    <col min="11029" max="11029" width="2.7265625" style="109" customWidth="1"/>
    <col min="11030" max="11030" width="5.54296875" style="109" customWidth="1"/>
    <col min="11031" max="11031" width="5.7265625" style="109" customWidth="1"/>
    <col min="11032" max="11032" width="3.26953125" style="109" customWidth="1"/>
    <col min="11033" max="11034" width="6.7265625" style="109" customWidth="1"/>
    <col min="11035" max="11264" width="8.7265625" style="109"/>
    <col min="11265" max="11265" width="7.26953125" style="109" customWidth="1"/>
    <col min="11266" max="11266" width="5.7265625" style="109" customWidth="1"/>
    <col min="11267" max="11267" width="1.453125" style="109" customWidth="1"/>
    <col min="11268" max="11268" width="8.7265625" style="109"/>
    <col min="11269" max="11269" width="4.7265625" style="109" customWidth="1"/>
    <col min="11270" max="11270" width="3.453125" style="109" customWidth="1"/>
    <col min="11271" max="11272" width="5.7265625" style="109" customWidth="1"/>
    <col min="11273" max="11273" width="2" style="109" customWidth="1"/>
    <col min="11274" max="11274" width="3.26953125" style="109" customWidth="1"/>
    <col min="11275" max="11275" width="3" style="109" customWidth="1"/>
    <col min="11276" max="11276" width="1.26953125" style="109" customWidth="1"/>
    <col min="11277" max="11277" width="5.7265625" style="109" customWidth="1"/>
    <col min="11278" max="11278" width="5" style="109" customWidth="1"/>
    <col min="11279" max="11279" width="1.7265625" style="109" customWidth="1"/>
    <col min="11280" max="11280" width="5.7265625" style="109" customWidth="1"/>
    <col min="11281" max="11281" width="7" style="109" customWidth="1"/>
    <col min="11282" max="11282" width="1.7265625" style="109" customWidth="1"/>
    <col min="11283" max="11283" width="23" style="109" bestFit="1" customWidth="1"/>
    <col min="11284" max="11284" width="6.7265625" style="109" customWidth="1"/>
    <col min="11285" max="11285" width="2.7265625" style="109" customWidth="1"/>
    <col min="11286" max="11286" width="5.54296875" style="109" customWidth="1"/>
    <col min="11287" max="11287" width="5.7265625" style="109" customWidth="1"/>
    <col min="11288" max="11288" width="3.26953125" style="109" customWidth="1"/>
    <col min="11289" max="11290" width="6.7265625" style="109" customWidth="1"/>
    <col min="11291" max="11520" width="8.7265625" style="109"/>
    <col min="11521" max="11521" width="7.26953125" style="109" customWidth="1"/>
    <col min="11522" max="11522" width="5.7265625" style="109" customWidth="1"/>
    <col min="11523" max="11523" width="1.453125" style="109" customWidth="1"/>
    <col min="11524" max="11524" width="8.7265625" style="109"/>
    <col min="11525" max="11525" width="4.7265625" style="109" customWidth="1"/>
    <col min="11526" max="11526" width="3.453125" style="109" customWidth="1"/>
    <col min="11527" max="11528" width="5.7265625" style="109" customWidth="1"/>
    <col min="11529" max="11529" width="2" style="109" customWidth="1"/>
    <col min="11530" max="11530" width="3.26953125" style="109" customWidth="1"/>
    <col min="11531" max="11531" width="3" style="109" customWidth="1"/>
    <col min="11532" max="11532" width="1.26953125" style="109" customWidth="1"/>
    <col min="11533" max="11533" width="5.7265625" style="109" customWidth="1"/>
    <col min="11534" max="11534" width="5" style="109" customWidth="1"/>
    <col min="11535" max="11535" width="1.7265625" style="109" customWidth="1"/>
    <col min="11536" max="11536" width="5.7265625" style="109" customWidth="1"/>
    <col min="11537" max="11537" width="7" style="109" customWidth="1"/>
    <col min="11538" max="11538" width="1.7265625" style="109" customWidth="1"/>
    <col min="11539" max="11539" width="23" style="109" bestFit="1" customWidth="1"/>
    <col min="11540" max="11540" width="6.7265625" style="109" customWidth="1"/>
    <col min="11541" max="11541" width="2.7265625" style="109" customWidth="1"/>
    <col min="11542" max="11542" width="5.54296875" style="109" customWidth="1"/>
    <col min="11543" max="11543" width="5.7265625" style="109" customWidth="1"/>
    <col min="11544" max="11544" width="3.26953125" style="109" customWidth="1"/>
    <col min="11545" max="11546" width="6.7265625" style="109" customWidth="1"/>
    <col min="11547" max="11776" width="8.7265625" style="109"/>
    <col min="11777" max="11777" width="7.26953125" style="109" customWidth="1"/>
    <col min="11778" max="11778" width="5.7265625" style="109" customWidth="1"/>
    <col min="11779" max="11779" width="1.453125" style="109" customWidth="1"/>
    <col min="11780" max="11780" width="8.7265625" style="109"/>
    <col min="11781" max="11781" width="4.7265625" style="109" customWidth="1"/>
    <col min="11782" max="11782" width="3.453125" style="109" customWidth="1"/>
    <col min="11783" max="11784" width="5.7265625" style="109" customWidth="1"/>
    <col min="11785" max="11785" width="2" style="109" customWidth="1"/>
    <col min="11786" max="11786" width="3.26953125" style="109" customWidth="1"/>
    <col min="11787" max="11787" width="3" style="109" customWidth="1"/>
    <col min="11788" max="11788" width="1.26953125" style="109" customWidth="1"/>
    <col min="11789" max="11789" width="5.7265625" style="109" customWidth="1"/>
    <col min="11790" max="11790" width="5" style="109" customWidth="1"/>
    <col min="11791" max="11791" width="1.7265625" style="109" customWidth="1"/>
    <col min="11792" max="11792" width="5.7265625" style="109" customWidth="1"/>
    <col min="11793" max="11793" width="7" style="109" customWidth="1"/>
    <col min="11794" max="11794" width="1.7265625" style="109" customWidth="1"/>
    <col min="11795" max="11795" width="23" style="109" bestFit="1" customWidth="1"/>
    <col min="11796" max="11796" width="6.7265625" style="109" customWidth="1"/>
    <col min="11797" max="11797" width="2.7265625" style="109" customWidth="1"/>
    <col min="11798" max="11798" width="5.54296875" style="109" customWidth="1"/>
    <col min="11799" max="11799" width="5.7265625" style="109" customWidth="1"/>
    <col min="11800" max="11800" width="3.26953125" style="109" customWidth="1"/>
    <col min="11801" max="11802" width="6.7265625" style="109" customWidth="1"/>
    <col min="11803" max="12032" width="8.7265625" style="109"/>
    <col min="12033" max="12033" width="7.26953125" style="109" customWidth="1"/>
    <col min="12034" max="12034" width="5.7265625" style="109" customWidth="1"/>
    <col min="12035" max="12035" width="1.453125" style="109" customWidth="1"/>
    <col min="12036" max="12036" width="8.7265625" style="109"/>
    <col min="12037" max="12037" width="4.7265625" style="109" customWidth="1"/>
    <col min="12038" max="12038" width="3.453125" style="109" customWidth="1"/>
    <col min="12039" max="12040" width="5.7265625" style="109" customWidth="1"/>
    <col min="12041" max="12041" width="2" style="109" customWidth="1"/>
    <col min="12042" max="12042" width="3.26953125" style="109" customWidth="1"/>
    <col min="12043" max="12043" width="3" style="109" customWidth="1"/>
    <col min="12044" max="12044" width="1.26953125" style="109" customWidth="1"/>
    <col min="12045" max="12045" width="5.7265625" style="109" customWidth="1"/>
    <col min="12046" max="12046" width="5" style="109" customWidth="1"/>
    <col min="12047" max="12047" width="1.7265625" style="109" customWidth="1"/>
    <col min="12048" max="12048" width="5.7265625" style="109" customWidth="1"/>
    <col min="12049" max="12049" width="7" style="109" customWidth="1"/>
    <col min="12050" max="12050" width="1.7265625" style="109" customWidth="1"/>
    <col min="12051" max="12051" width="23" style="109" bestFit="1" customWidth="1"/>
    <col min="12052" max="12052" width="6.7265625" style="109" customWidth="1"/>
    <col min="12053" max="12053" width="2.7265625" style="109" customWidth="1"/>
    <col min="12054" max="12054" width="5.54296875" style="109" customWidth="1"/>
    <col min="12055" max="12055" width="5.7265625" style="109" customWidth="1"/>
    <col min="12056" max="12056" width="3.26953125" style="109" customWidth="1"/>
    <col min="12057" max="12058" width="6.7265625" style="109" customWidth="1"/>
    <col min="12059" max="12288" width="8.7265625" style="109"/>
    <col min="12289" max="12289" width="7.26953125" style="109" customWidth="1"/>
    <col min="12290" max="12290" width="5.7265625" style="109" customWidth="1"/>
    <col min="12291" max="12291" width="1.453125" style="109" customWidth="1"/>
    <col min="12292" max="12292" width="8.7265625" style="109"/>
    <col min="12293" max="12293" width="4.7265625" style="109" customWidth="1"/>
    <col min="12294" max="12294" width="3.453125" style="109" customWidth="1"/>
    <col min="12295" max="12296" width="5.7265625" style="109" customWidth="1"/>
    <col min="12297" max="12297" width="2" style="109" customWidth="1"/>
    <col min="12298" max="12298" width="3.26953125" style="109" customWidth="1"/>
    <col min="12299" max="12299" width="3" style="109" customWidth="1"/>
    <col min="12300" max="12300" width="1.26953125" style="109" customWidth="1"/>
    <col min="12301" max="12301" width="5.7265625" style="109" customWidth="1"/>
    <col min="12302" max="12302" width="5" style="109" customWidth="1"/>
    <col min="12303" max="12303" width="1.7265625" style="109" customWidth="1"/>
    <col min="12304" max="12304" width="5.7265625" style="109" customWidth="1"/>
    <col min="12305" max="12305" width="7" style="109" customWidth="1"/>
    <col min="12306" max="12306" width="1.7265625" style="109" customWidth="1"/>
    <col min="12307" max="12307" width="23" style="109" bestFit="1" customWidth="1"/>
    <col min="12308" max="12308" width="6.7265625" style="109" customWidth="1"/>
    <col min="12309" max="12309" width="2.7265625" style="109" customWidth="1"/>
    <col min="12310" max="12310" width="5.54296875" style="109" customWidth="1"/>
    <col min="12311" max="12311" width="5.7265625" style="109" customWidth="1"/>
    <col min="12312" max="12312" width="3.26953125" style="109" customWidth="1"/>
    <col min="12313" max="12314" width="6.7265625" style="109" customWidth="1"/>
    <col min="12315" max="12544" width="8.7265625" style="109"/>
    <col min="12545" max="12545" width="7.26953125" style="109" customWidth="1"/>
    <col min="12546" max="12546" width="5.7265625" style="109" customWidth="1"/>
    <col min="12547" max="12547" width="1.453125" style="109" customWidth="1"/>
    <col min="12548" max="12548" width="8.7265625" style="109"/>
    <col min="12549" max="12549" width="4.7265625" style="109" customWidth="1"/>
    <col min="12550" max="12550" width="3.453125" style="109" customWidth="1"/>
    <col min="12551" max="12552" width="5.7265625" style="109" customWidth="1"/>
    <col min="12553" max="12553" width="2" style="109" customWidth="1"/>
    <col min="12554" max="12554" width="3.26953125" style="109" customWidth="1"/>
    <col min="12555" max="12555" width="3" style="109" customWidth="1"/>
    <col min="12556" max="12556" width="1.26953125" style="109" customWidth="1"/>
    <col min="12557" max="12557" width="5.7265625" style="109" customWidth="1"/>
    <col min="12558" max="12558" width="5" style="109" customWidth="1"/>
    <col min="12559" max="12559" width="1.7265625" style="109" customWidth="1"/>
    <col min="12560" max="12560" width="5.7265625" style="109" customWidth="1"/>
    <col min="12561" max="12561" width="7" style="109" customWidth="1"/>
    <col min="12562" max="12562" width="1.7265625" style="109" customWidth="1"/>
    <col min="12563" max="12563" width="23" style="109" bestFit="1" customWidth="1"/>
    <col min="12564" max="12564" width="6.7265625" style="109" customWidth="1"/>
    <col min="12565" max="12565" width="2.7265625" style="109" customWidth="1"/>
    <col min="12566" max="12566" width="5.54296875" style="109" customWidth="1"/>
    <col min="12567" max="12567" width="5.7265625" style="109" customWidth="1"/>
    <col min="12568" max="12568" width="3.26953125" style="109" customWidth="1"/>
    <col min="12569" max="12570" width="6.7265625" style="109" customWidth="1"/>
    <col min="12571" max="12800" width="8.7265625" style="109"/>
    <col min="12801" max="12801" width="7.26953125" style="109" customWidth="1"/>
    <col min="12802" max="12802" width="5.7265625" style="109" customWidth="1"/>
    <col min="12803" max="12803" width="1.453125" style="109" customWidth="1"/>
    <col min="12804" max="12804" width="8.7265625" style="109"/>
    <col min="12805" max="12805" width="4.7265625" style="109" customWidth="1"/>
    <col min="12806" max="12806" width="3.453125" style="109" customWidth="1"/>
    <col min="12807" max="12808" width="5.7265625" style="109" customWidth="1"/>
    <col min="12809" max="12809" width="2" style="109" customWidth="1"/>
    <col min="12810" max="12810" width="3.26953125" style="109" customWidth="1"/>
    <col min="12811" max="12811" width="3" style="109" customWidth="1"/>
    <col min="12812" max="12812" width="1.26953125" style="109" customWidth="1"/>
    <col min="12813" max="12813" width="5.7265625" style="109" customWidth="1"/>
    <col min="12814" max="12814" width="5" style="109" customWidth="1"/>
    <col min="12815" max="12815" width="1.7265625" style="109" customWidth="1"/>
    <col min="12816" max="12816" width="5.7265625" style="109" customWidth="1"/>
    <col min="12817" max="12817" width="7" style="109" customWidth="1"/>
    <col min="12818" max="12818" width="1.7265625" style="109" customWidth="1"/>
    <col min="12819" max="12819" width="23" style="109" bestFit="1" customWidth="1"/>
    <col min="12820" max="12820" width="6.7265625" style="109" customWidth="1"/>
    <col min="12821" max="12821" width="2.7265625" style="109" customWidth="1"/>
    <col min="12822" max="12822" width="5.54296875" style="109" customWidth="1"/>
    <col min="12823" max="12823" width="5.7265625" style="109" customWidth="1"/>
    <col min="12824" max="12824" width="3.26953125" style="109" customWidth="1"/>
    <col min="12825" max="12826" width="6.7265625" style="109" customWidth="1"/>
    <col min="12827" max="13056" width="8.7265625" style="109"/>
    <col min="13057" max="13057" width="7.26953125" style="109" customWidth="1"/>
    <col min="13058" max="13058" width="5.7265625" style="109" customWidth="1"/>
    <col min="13059" max="13059" width="1.453125" style="109" customWidth="1"/>
    <col min="13060" max="13060" width="8.7265625" style="109"/>
    <col min="13061" max="13061" width="4.7265625" style="109" customWidth="1"/>
    <col min="13062" max="13062" width="3.453125" style="109" customWidth="1"/>
    <col min="13063" max="13064" width="5.7265625" style="109" customWidth="1"/>
    <col min="13065" max="13065" width="2" style="109" customWidth="1"/>
    <col min="13066" max="13066" width="3.26953125" style="109" customWidth="1"/>
    <col min="13067" max="13067" width="3" style="109" customWidth="1"/>
    <col min="13068" max="13068" width="1.26953125" style="109" customWidth="1"/>
    <col min="13069" max="13069" width="5.7265625" style="109" customWidth="1"/>
    <col min="13070" max="13070" width="5" style="109" customWidth="1"/>
    <col min="13071" max="13071" width="1.7265625" style="109" customWidth="1"/>
    <col min="13072" max="13072" width="5.7265625" style="109" customWidth="1"/>
    <col min="13073" max="13073" width="7" style="109" customWidth="1"/>
    <col min="13074" max="13074" width="1.7265625" style="109" customWidth="1"/>
    <col min="13075" max="13075" width="23" style="109" bestFit="1" customWidth="1"/>
    <col min="13076" max="13076" width="6.7265625" style="109" customWidth="1"/>
    <col min="13077" max="13077" width="2.7265625" style="109" customWidth="1"/>
    <col min="13078" max="13078" width="5.54296875" style="109" customWidth="1"/>
    <col min="13079" max="13079" width="5.7265625" style="109" customWidth="1"/>
    <col min="13080" max="13080" width="3.26953125" style="109" customWidth="1"/>
    <col min="13081" max="13082" width="6.7265625" style="109" customWidth="1"/>
    <col min="13083" max="13312" width="8.7265625" style="109"/>
    <col min="13313" max="13313" width="7.26953125" style="109" customWidth="1"/>
    <col min="13314" max="13314" width="5.7265625" style="109" customWidth="1"/>
    <col min="13315" max="13315" width="1.453125" style="109" customWidth="1"/>
    <col min="13316" max="13316" width="8.7265625" style="109"/>
    <col min="13317" max="13317" width="4.7265625" style="109" customWidth="1"/>
    <col min="13318" max="13318" width="3.453125" style="109" customWidth="1"/>
    <col min="13319" max="13320" width="5.7265625" style="109" customWidth="1"/>
    <col min="13321" max="13321" width="2" style="109" customWidth="1"/>
    <col min="13322" max="13322" width="3.26953125" style="109" customWidth="1"/>
    <col min="13323" max="13323" width="3" style="109" customWidth="1"/>
    <col min="13324" max="13324" width="1.26953125" style="109" customWidth="1"/>
    <col min="13325" max="13325" width="5.7265625" style="109" customWidth="1"/>
    <col min="13326" max="13326" width="5" style="109" customWidth="1"/>
    <col min="13327" max="13327" width="1.7265625" style="109" customWidth="1"/>
    <col min="13328" max="13328" width="5.7265625" style="109" customWidth="1"/>
    <col min="13329" max="13329" width="7" style="109" customWidth="1"/>
    <col min="13330" max="13330" width="1.7265625" style="109" customWidth="1"/>
    <col min="13331" max="13331" width="23" style="109" bestFit="1" customWidth="1"/>
    <col min="13332" max="13332" width="6.7265625" style="109" customWidth="1"/>
    <col min="13333" max="13333" width="2.7265625" style="109" customWidth="1"/>
    <col min="13334" max="13334" width="5.54296875" style="109" customWidth="1"/>
    <col min="13335" max="13335" width="5.7265625" style="109" customWidth="1"/>
    <col min="13336" max="13336" width="3.26953125" style="109" customWidth="1"/>
    <col min="13337" max="13338" width="6.7265625" style="109" customWidth="1"/>
    <col min="13339" max="13568" width="8.7265625" style="109"/>
    <col min="13569" max="13569" width="7.26953125" style="109" customWidth="1"/>
    <col min="13570" max="13570" width="5.7265625" style="109" customWidth="1"/>
    <col min="13571" max="13571" width="1.453125" style="109" customWidth="1"/>
    <col min="13572" max="13572" width="8.7265625" style="109"/>
    <col min="13573" max="13573" width="4.7265625" style="109" customWidth="1"/>
    <col min="13574" max="13574" width="3.453125" style="109" customWidth="1"/>
    <col min="13575" max="13576" width="5.7265625" style="109" customWidth="1"/>
    <col min="13577" max="13577" width="2" style="109" customWidth="1"/>
    <col min="13578" max="13578" width="3.26953125" style="109" customWidth="1"/>
    <col min="13579" max="13579" width="3" style="109" customWidth="1"/>
    <col min="13580" max="13580" width="1.26953125" style="109" customWidth="1"/>
    <col min="13581" max="13581" width="5.7265625" style="109" customWidth="1"/>
    <col min="13582" max="13582" width="5" style="109" customWidth="1"/>
    <col min="13583" max="13583" width="1.7265625" style="109" customWidth="1"/>
    <col min="13584" max="13584" width="5.7265625" style="109" customWidth="1"/>
    <col min="13585" max="13585" width="7" style="109" customWidth="1"/>
    <col min="13586" max="13586" width="1.7265625" style="109" customWidth="1"/>
    <col min="13587" max="13587" width="23" style="109" bestFit="1" customWidth="1"/>
    <col min="13588" max="13588" width="6.7265625" style="109" customWidth="1"/>
    <col min="13589" max="13589" width="2.7265625" style="109" customWidth="1"/>
    <col min="13590" max="13590" width="5.54296875" style="109" customWidth="1"/>
    <col min="13591" max="13591" width="5.7265625" style="109" customWidth="1"/>
    <col min="13592" max="13592" width="3.26953125" style="109" customWidth="1"/>
    <col min="13593" max="13594" width="6.7265625" style="109" customWidth="1"/>
    <col min="13595" max="13824" width="8.7265625" style="109"/>
    <col min="13825" max="13825" width="7.26953125" style="109" customWidth="1"/>
    <col min="13826" max="13826" width="5.7265625" style="109" customWidth="1"/>
    <col min="13827" max="13827" width="1.453125" style="109" customWidth="1"/>
    <col min="13828" max="13828" width="8.7265625" style="109"/>
    <col min="13829" max="13829" width="4.7265625" style="109" customWidth="1"/>
    <col min="13830" max="13830" width="3.453125" style="109" customWidth="1"/>
    <col min="13831" max="13832" width="5.7265625" style="109" customWidth="1"/>
    <col min="13833" max="13833" width="2" style="109" customWidth="1"/>
    <col min="13834" max="13834" width="3.26953125" style="109" customWidth="1"/>
    <col min="13835" max="13835" width="3" style="109" customWidth="1"/>
    <col min="13836" max="13836" width="1.26953125" style="109" customWidth="1"/>
    <col min="13837" max="13837" width="5.7265625" style="109" customWidth="1"/>
    <col min="13838" max="13838" width="5" style="109" customWidth="1"/>
    <col min="13839" max="13839" width="1.7265625" style="109" customWidth="1"/>
    <col min="13840" max="13840" width="5.7265625" style="109" customWidth="1"/>
    <col min="13841" max="13841" width="7" style="109" customWidth="1"/>
    <col min="13842" max="13842" width="1.7265625" style="109" customWidth="1"/>
    <col min="13843" max="13843" width="23" style="109" bestFit="1" customWidth="1"/>
    <col min="13844" max="13844" width="6.7265625" style="109" customWidth="1"/>
    <col min="13845" max="13845" width="2.7265625" style="109" customWidth="1"/>
    <col min="13846" max="13846" width="5.54296875" style="109" customWidth="1"/>
    <col min="13847" max="13847" width="5.7265625" style="109" customWidth="1"/>
    <col min="13848" max="13848" width="3.26953125" style="109" customWidth="1"/>
    <col min="13849" max="13850" width="6.7265625" style="109" customWidth="1"/>
    <col min="13851" max="14080" width="8.7265625" style="109"/>
    <col min="14081" max="14081" width="7.26953125" style="109" customWidth="1"/>
    <col min="14082" max="14082" width="5.7265625" style="109" customWidth="1"/>
    <col min="14083" max="14083" width="1.453125" style="109" customWidth="1"/>
    <col min="14084" max="14084" width="8.7265625" style="109"/>
    <col min="14085" max="14085" width="4.7265625" style="109" customWidth="1"/>
    <col min="14086" max="14086" width="3.453125" style="109" customWidth="1"/>
    <col min="14087" max="14088" width="5.7265625" style="109" customWidth="1"/>
    <col min="14089" max="14089" width="2" style="109" customWidth="1"/>
    <col min="14090" max="14090" width="3.26953125" style="109" customWidth="1"/>
    <col min="14091" max="14091" width="3" style="109" customWidth="1"/>
    <col min="14092" max="14092" width="1.26953125" style="109" customWidth="1"/>
    <col min="14093" max="14093" width="5.7265625" style="109" customWidth="1"/>
    <col min="14094" max="14094" width="5" style="109" customWidth="1"/>
    <col min="14095" max="14095" width="1.7265625" style="109" customWidth="1"/>
    <col min="14096" max="14096" width="5.7265625" style="109" customWidth="1"/>
    <col min="14097" max="14097" width="7" style="109" customWidth="1"/>
    <col min="14098" max="14098" width="1.7265625" style="109" customWidth="1"/>
    <col min="14099" max="14099" width="23" style="109" bestFit="1" customWidth="1"/>
    <col min="14100" max="14100" width="6.7265625" style="109" customWidth="1"/>
    <col min="14101" max="14101" width="2.7265625" style="109" customWidth="1"/>
    <col min="14102" max="14102" width="5.54296875" style="109" customWidth="1"/>
    <col min="14103" max="14103" width="5.7265625" style="109" customWidth="1"/>
    <col min="14104" max="14104" width="3.26953125" style="109" customWidth="1"/>
    <col min="14105" max="14106" width="6.7265625" style="109" customWidth="1"/>
    <col min="14107" max="14336" width="8.7265625" style="109"/>
    <col min="14337" max="14337" width="7.26953125" style="109" customWidth="1"/>
    <col min="14338" max="14338" width="5.7265625" style="109" customWidth="1"/>
    <col min="14339" max="14339" width="1.453125" style="109" customWidth="1"/>
    <col min="14340" max="14340" width="8.7265625" style="109"/>
    <col min="14341" max="14341" width="4.7265625" style="109" customWidth="1"/>
    <col min="14342" max="14342" width="3.453125" style="109" customWidth="1"/>
    <col min="14343" max="14344" width="5.7265625" style="109" customWidth="1"/>
    <col min="14345" max="14345" width="2" style="109" customWidth="1"/>
    <col min="14346" max="14346" width="3.26953125" style="109" customWidth="1"/>
    <col min="14347" max="14347" width="3" style="109" customWidth="1"/>
    <col min="14348" max="14348" width="1.26953125" style="109" customWidth="1"/>
    <col min="14349" max="14349" width="5.7265625" style="109" customWidth="1"/>
    <col min="14350" max="14350" width="5" style="109" customWidth="1"/>
    <col min="14351" max="14351" width="1.7265625" style="109" customWidth="1"/>
    <col min="14352" max="14352" width="5.7265625" style="109" customWidth="1"/>
    <col min="14353" max="14353" width="7" style="109" customWidth="1"/>
    <col min="14354" max="14354" width="1.7265625" style="109" customWidth="1"/>
    <col min="14355" max="14355" width="23" style="109" bestFit="1" customWidth="1"/>
    <col min="14356" max="14356" width="6.7265625" style="109" customWidth="1"/>
    <col min="14357" max="14357" width="2.7265625" style="109" customWidth="1"/>
    <col min="14358" max="14358" width="5.54296875" style="109" customWidth="1"/>
    <col min="14359" max="14359" width="5.7265625" style="109" customWidth="1"/>
    <col min="14360" max="14360" width="3.26953125" style="109" customWidth="1"/>
    <col min="14361" max="14362" width="6.7265625" style="109" customWidth="1"/>
    <col min="14363" max="14592" width="8.7265625" style="109"/>
    <col min="14593" max="14593" width="7.26953125" style="109" customWidth="1"/>
    <col min="14594" max="14594" width="5.7265625" style="109" customWidth="1"/>
    <col min="14595" max="14595" width="1.453125" style="109" customWidth="1"/>
    <col min="14596" max="14596" width="8.7265625" style="109"/>
    <col min="14597" max="14597" width="4.7265625" style="109" customWidth="1"/>
    <col min="14598" max="14598" width="3.453125" style="109" customWidth="1"/>
    <col min="14599" max="14600" width="5.7265625" style="109" customWidth="1"/>
    <col min="14601" max="14601" width="2" style="109" customWidth="1"/>
    <col min="14602" max="14602" width="3.26953125" style="109" customWidth="1"/>
    <col min="14603" max="14603" width="3" style="109" customWidth="1"/>
    <col min="14604" max="14604" width="1.26953125" style="109" customWidth="1"/>
    <col min="14605" max="14605" width="5.7265625" style="109" customWidth="1"/>
    <col min="14606" max="14606" width="5" style="109" customWidth="1"/>
    <col min="14607" max="14607" width="1.7265625" style="109" customWidth="1"/>
    <col min="14608" max="14608" width="5.7265625" style="109" customWidth="1"/>
    <col min="14609" max="14609" width="7" style="109" customWidth="1"/>
    <col min="14610" max="14610" width="1.7265625" style="109" customWidth="1"/>
    <col min="14611" max="14611" width="23" style="109" bestFit="1" customWidth="1"/>
    <col min="14612" max="14612" width="6.7265625" style="109" customWidth="1"/>
    <col min="14613" max="14613" width="2.7265625" style="109" customWidth="1"/>
    <col min="14614" max="14614" width="5.54296875" style="109" customWidth="1"/>
    <col min="14615" max="14615" width="5.7265625" style="109" customWidth="1"/>
    <col min="14616" max="14616" width="3.26953125" style="109" customWidth="1"/>
    <col min="14617" max="14618" width="6.7265625" style="109" customWidth="1"/>
    <col min="14619" max="14848" width="8.7265625" style="109"/>
    <col min="14849" max="14849" width="7.26953125" style="109" customWidth="1"/>
    <col min="14850" max="14850" width="5.7265625" style="109" customWidth="1"/>
    <col min="14851" max="14851" width="1.453125" style="109" customWidth="1"/>
    <col min="14852" max="14852" width="8.7265625" style="109"/>
    <col min="14853" max="14853" width="4.7265625" style="109" customWidth="1"/>
    <col min="14854" max="14854" width="3.453125" style="109" customWidth="1"/>
    <col min="14855" max="14856" width="5.7265625" style="109" customWidth="1"/>
    <col min="14857" max="14857" width="2" style="109" customWidth="1"/>
    <col min="14858" max="14858" width="3.26953125" style="109" customWidth="1"/>
    <col min="14859" max="14859" width="3" style="109" customWidth="1"/>
    <col min="14860" max="14860" width="1.26953125" style="109" customWidth="1"/>
    <col min="14861" max="14861" width="5.7265625" style="109" customWidth="1"/>
    <col min="14862" max="14862" width="5" style="109" customWidth="1"/>
    <col min="14863" max="14863" width="1.7265625" style="109" customWidth="1"/>
    <col min="14864" max="14864" width="5.7265625" style="109" customWidth="1"/>
    <col min="14865" max="14865" width="7" style="109" customWidth="1"/>
    <col min="14866" max="14866" width="1.7265625" style="109" customWidth="1"/>
    <col min="14867" max="14867" width="23" style="109" bestFit="1" customWidth="1"/>
    <col min="14868" max="14868" width="6.7265625" style="109" customWidth="1"/>
    <col min="14869" max="14869" width="2.7265625" style="109" customWidth="1"/>
    <col min="14870" max="14870" width="5.54296875" style="109" customWidth="1"/>
    <col min="14871" max="14871" width="5.7265625" style="109" customWidth="1"/>
    <col min="14872" max="14872" width="3.26953125" style="109" customWidth="1"/>
    <col min="14873" max="14874" width="6.7265625" style="109" customWidth="1"/>
    <col min="14875" max="15104" width="8.7265625" style="109"/>
    <col min="15105" max="15105" width="7.26953125" style="109" customWidth="1"/>
    <col min="15106" max="15106" width="5.7265625" style="109" customWidth="1"/>
    <col min="15107" max="15107" width="1.453125" style="109" customWidth="1"/>
    <col min="15108" max="15108" width="8.7265625" style="109"/>
    <col min="15109" max="15109" width="4.7265625" style="109" customWidth="1"/>
    <col min="15110" max="15110" width="3.453125" style="109" customWidth="1"/>
    <col min="15111" max="15112" width="5.7265625" style="109" customWidth="1"/>
    <col min="15113" max="15113" width="2" style="109" customWidth="1"/>
    <col min="15114" max="15114" width="3.26953125" style="109" customWidth="1"/>
    <col min="15115" max="15115" width="3" style="109" customWidth="1"/>
    <col min="15116" max="15116" width="1.26953125" style="109" customWidth="1"/>
    <col min="15117" max="15117" width="5.7265625" style="109" customWidth="1"/>
    <col min="15118" max="15118" width="5" style="109" customWidth="1"/>
    <col min="15119" max="15119" width="1.7265625" style="109" customWidth="1"/>
    <col min="15120" max="15120" width="5.7265625" style="109" customWidth="1"/>
    <col min="15121" max="15121" width="7" style="109" customWidth="1"/>
    <col min="15122" max="15122" width="1.7265625" style="109" customWidth="1"/>
    <col min="15123" max="15123" width="23" style="109" bestFit="1" customWidth="1"/>
    <col min="15124" max="15124" width="6.7265625" style="109" customWidth="1"/>
    <col min="15125" max="15125" width="2.7265625" style="109" customWidth="1"/>
    <col min="15126" max="15126" width="5.54296875" style="109" customWidth="1"/>
    <col min="15127" max="15127" width="5.7265625" style="109" customWidth="1"/>
    <col min="15128" max="15128" width="3.26953125" style="109" customWidth="1"/>
    <col min="15129" max="15130" width="6.7265625" style="109" customWidth="1"/>
    <col min="15131" max="15360" width="8.7265625" style="109"/>
    <col min="15361" max="15361" width="7.26953125" style="109" customWidth="1"/>
    <col min="15362" max="15362" width="5.7265625" style="109" customWidth="1"/>
    <col min="15363" max="15363" width="1.453125" style="109" customWidth="1"/>
    <col min="15364" max="15364" width="8.7265625" style="109"/>
    <col min="15365" max="15365" width="4.7265625" style="109" customWidth="1"/>
    <col min="15366" max="15366" width="3.453125" style="109" customWidth="1"/>
    <col min="15367" max="15368" width="5.7265625" style="109" customWidth="1"/>
    <col min="15369" max="15369" width="2" style="109" customWidth="1"/>
    <col min="15370" max="15370" width="3.26953125" style="109" customWidth="1"/>
    <col min="15371" max="15371" width="3" style="109" customWidth="1"/>
    <col min="15372" max="15372" width="1.26953125" style="109" customWidth="1"/>
    <col min="15373" max="15373" width="5.7265625" style="109" customWidth="1"/>
    <col min="15374" max="15374" width="5" style="109" customWidth="1"/>
    <col min="15375" max="15375" width="1.7265625" style="109" customWidth="1"/>
    <col min="15376" max="15376" width="5.7265625" style="109" customWidth="1"/>
    <col min="15377" max="15377" width="7" style="109" customWidth="1"/>
    <col min="15378" max="15378" width="1.7265625" style="109" customWidth="1"/>
    <col min="15379" max="15379" width="23" style="109" bestFit="1" customWidth="1"/>
    <col min="15380" max="15380" width="6.7265625" style="109" customWidth="1"/>
    <col min="15381" max="15381" width="2.7265625" style="109" customWidth="1"/>
    <col min="15382" max="15382" width="5.54296875" style="109" customWidth="1"/>
    <col min="15383" max="15383" width="5.7265625" style="109" customWidth="1"/>
    <col min="15384" max="15384" width="3.26953125" style="109" customWidth="1"/>
    <col min="15385" max="15386" width="6.7265625" style="109" customWidth="1"/>
    <col min="15387" max="15616" width="8.7265625" style="109"/>
    <col min="15617" max="15617" width="7.26953125" style="109" customWidth="1"/>
    <col min="15618" max="15618" width="5.7265625" style="109" customWidth="1"/>
    <col min="15619" max="15619" width="1.453125" style="109" customWidth="1"/>
    <col min="15620" max="15620" width="8.7265625" style="109"/>
    <col min="15621" max="15621" width="4.7265625" style="109" customWidth="1"/>
    <col min="15622" max="15622" width="3.453125" style="109" customWidth="1"/>
    <col min="15623" max="15624" width="5.7265625" style="109" customWidth="1"/>
    <col min="15625" max="15625" width="2" style="109" customWidth="1"/>
    <col min="15626" max="15626" width="3.26953125" style="109" customWidth="1"/>
    <col min="15627" max="15627" width="3" style="109" customWidth="1"/>
    <col min="15628" max="15628" width="1.26953125" style="109" customWidth="1"/>
    <col min="15629" max="15629" width="5.7265625" style="109" customWidth="1"/>
    <col min="15630" max="15630" width="5" style="109" customWidth="1"/>
    <col min="15631" max="15631" width="1.7265625" style="109" customWidth="1"/>
    <col min="15632" max="15632" width="5.7265625" style="109" customWidth="1"/>
    <col min="15633" max="15633" width="7" style="109" customWidth="1"/>
    <col min="15634" max="15634" width="1.7265625" style="109" customWidth="1"/>
    <col min="15635" max="15635" width="23" style="109" bestFit="1" customWidth="1"/>
    <col min="15636" max="15636" width="6.7265625" style="109" customWidth="1"/>
    <col min="15637" max="15637" width="2.7265625" style="109" customWidth="1"/>
    <col min="15638" max="15638" width="5.54296875" style="109" customWidth="1"/>
    <col min="15639" max="15639" width="5.7265625" style="109" customWidth="1"/>
    <col min="15640" max="15640" width="3.26953125" style="109" customWidth="1"/>
    <col min="15641" max="15642" width="6.7265625" style="109" customWidth="1"/>
    <col min="15643" max="15872" width="8.7265625" style="109"/>
    <col min="15873" max="15873" width="7.26953125" style="109" customWidth="1"/>
    <col min="15874" max="15874" width="5.7265625" style="109" customWidth="1"/>
    <col min="15875" max="15875" width="1.453125" style="109" customWidth="1"/>
    <col min="15876" max="15876" width="8.7265625" style="109"/>
    <col min="15877" max="15877" width="4.7265625" style="109" customWidth="1"/>
    <col min="15878" max="15878" width="3.453125" style="109" customWidth="1"/>
    <col min="15879" max="15880" width="5.7265625" style="109" customWidth="1"/>
    <col min="15881" max="15881" width="2" style="109" customWidth="1"/>
    <col min="15882" max="15882" width="3.26953125" style="109" customWidth="1"/>
    <col min="15883" max="15883" width="3" style="109" customWidth="1"/>
    <col min="15884" max="15884" width="1.26953125" style="109" customWidth="1"/>
    <col min="15885" max="15885" width="5.7265625" style="109" customWidth="1"/>
    <col min="15886" max="15886" width="5" style="109" customWidth="1"/>
    <col min="15887" max="15887" width="1.7265625" style="109" customWidth="1"/>
    <col min="15888" max="15888" width="5.7265625" style="109" customWidth="1"/>
    <col min="15889" max="15889" width="7" style="109" customWidth="1"/>
    <col min="15890" max="15890" width="1.7265625" style="109" customWidth="1"/>
    <col min="15891" max="15891" width="23" style="109" bestFit="1" customWidth="1"/>
    <col min="15892" max="15892" width="6.7265625" style="109" customWidth="1"/>
    <col min="15893" max="15893" width="2.7265625" style="109" customWidth="1"/>
    <col min="15894" max="15894" width="5.54296875" style="109" customWidth="1"/>
    <col min="15895" max="15895" width="5.7265625" style="109" customWidth="1"/>
    <col min="15896" max="15896" width="3.26953125" style="109" customWidth="1"/>
    <col min="15897" max="15898" width="6.7265625" style="109" customWidth="1"/>
    <col min="15899" max="16128" width="8.7265625" style="109"/>
    <col min="16129" max="16129" width="7.26953125" style="109" customWidth="1"/>
    <col min="16130" max="16130" width="5.7265625" style="109" customWidth="1"/>
    <col min="16131" max="16131" width="1.453125" style="109" customWidth="1"/>
    <col min="16132" max="16132" width="8.7265625" style="109"/>
    <col min="16133" max="16133" width="4.7265625" style="109" customWidth="1"/>
    <col min="16134" max="16134" width="3.453125" style="109" customWidth="1"/>
    <col min="16135" max="16136" width="5.7265625" style="109" customWidth="1"/>
    <col min="16137" max="16137" width="2" style="109" customWidth="1"/>
    <col min="16138" max="16138" width="3.26953125" style="109" customWidth="1"/>
    <col min="16139" max="16139" width="3" style="109" customWidth="1"/>
    <col min="16140" max="16140" width="1.26953125" style="109" customWidth="1"/>
    <col min="16141" max="16141" width="5.7265625" style="109" customWidth="1"/>
    <col min="16142" max="16142" width="5" style="109" customWidth="1"/>
    <col min="16143" max="16143" width="1.7265625" style="109" customWidth="1"/>
    <col min="16144" max="16144" width="5.7265625" style="109" customWidth="1"/>
    <col min="16145" max="16145" width="7" style="109" customWidth="1"/>
    <col min="16146" max="16146" width="1.7265625" style="109" customWidth="1"/>
    <col min="16147" max="16147" width="23" style="109" bestFit="1" customWidth="1"/>
    <col min="16148" max="16148" width="6.7265625" style="109" customWidth="1"/>
    <col min="16149" max="16149" width="2.7265625" style="109" customWidth="1"/>
    <col min="16150" max="16150" width="5.54296875" style="109" customWidth="1"/>
    <col min="16151" max="16151" width="5.7265625" style="109" customWidth="1"/>
    <col min="16152" max="16152" width="3.26953125" style="109" customWidth="1"/>
    <col min="16153" max="16154" width="6.7265625" style="109" customWidth="1"/>
    <col min="16155" max="16384" width="8.7265625" style="109"/>
  </cols>
  <sheetData>
    <row r="1" spans="1:26" x14ac:dyDescent="0.25">
      <c r="A1" s="109" t="s">
        <v>473</v>
      </c>
      <c r="B1" s="109">
        <v>6</v>
      </c>
      <c r="D1" s="109" t="s">
        <v>474</v>
      </c>
      <c r="E1" s="109">
        <v>1</v>
      </c>
      <c r="G1" s="109" t="s">
        <v>475</v>
      </c>
      <c r="H1" s="109">
        <v>10</v>
      </c>
      <c r="J1" s="109" t="s">
        <v>476</v>
      </c>
      <c r="K1" s="109">
        <f>Start!B119</f>
        <v>6</v>
      </c>
      <c r="M1" s="109" t="s">
        <v>477</v>
      </c>
      <c r="P1" s="109" t="s">
        <v>478</v>
      </c>
      <c r="Q1" s="109">
        <v>0.5</v>
      </c>
      <c r="S1" s="109" t="s">
        <v>479</v>
      </c>
      <c r="T1" s="109">
        <f>Start!B102</f>
        <v>20000</v>
      </c>
      <c r="V1" s="109" t="s">
        <v>480</v>
      </c>
      <c r="W1" s="109">
        <v>1</v>
      </c>
      <c r="Y1" s="109" t="s">
        <v>481</v>
      </c>
      <c r="Z1" s="109">
        <v>8</v>
      </c>
    </row>
    <row r="2" spans="1:26" x14ac:dyDescent="0.25">
      <c r="A2" s="109" t="s">
        <v>482</v>
      </c>
      <c r="B2" s="109">
        <v>1</v>
      </c>
      <c r="D2" s="109" t="s">
        <v>483</v>
      </c>
      <c r="E2" s="109">
        <v>2</v>
      </c>
      <c r="G2" s="109" t="s">
        <v>484</v>
      </c>
      <c r="H2" s="109">
        <v>1</v>
      </c>
      <c r="J2" s="109" t="s">
        <v>485</v>
      </c>
      <c r="M2" s="109" t="s">
        <v>486</v>
      </c>
      <c r="N2" s="109">
        <v>1</v>
      </c>
      <c r="P2" s="109" t="s">
        <v>487</v>
      </c>
      <c r="Q2" s="109">
        <v>1</v>
      </c>
      <c r="S2" s="109" t="s">
        <v>488</v>
      </c>
      <c r="T2" s="109">
        <f>Start!B101</f>
        <v>20000</v>
      </c>
      <c r="V2" s="109" t="s">
        <v>489</v>
      </c>
      <c r="W2" s="109">
        <v>1</v>
      </c>
      <c r="Y2" s="109" t="s">
        <v>490</v>
      </c>
    </row>
    <row r="3" spans="1:26" x14ac:dyDescent="0.25">
      <c r="A3" s="109" t="s">
        <v>491</v>
      </c>
      <c r="B3" s="109">
        <v>4</v>
      </c>
      <c r="D3" s="109" t="s">
        <v>492</v>
      </c>
      <c r="E3" s="109">
        <v>10</v>
      </c>
      <c r="G3" s="109" t="s">
        <v>493</v>
      </c>
      <c r="H3" s="109">
        <v>8</v>
      </c>
      <c r="J3" s="109" t="s">
        <v>494</v>
      </c>
      <c r="M3" s="109" t="s">
        <v>495</v>
      </c>
      <c r="N3" s="109">
        <v>4</v>
      </c>
      <c r="P3" s="109" t="s">
        <v>496</v>
      </c>
      <c r="Q3" s="109">
        <v>2</v>
      </c>
      <c r="S3" s="109" t="s">
        <v>497</v>
      </c>
      <c r="T3" s="109">
        <f>IF(F!B49+F!B50+F!B58=0,0,Start!B99)</f>
        <v>4000</v>
      </c>
      <c r="V3" s="109" t="s">
        <v>498</v>
      </c>
      <c r="W3" s="109">
        <v>4</v>
      </c>
      <c r="Y3" s="109" t="s">
        <v>499</v>
      </c>
      <c r="Z3" s="118">
        <f>Start!B113+0.5</f>
        <v>2.5</v>
      </c>
    </row>
    <row r="4" spans="1:26" x14ac:dyDescent="0.25">
      <c r="A4" s="109" t="s">
        <v>500</v>
      </c>
      <c r="B4" s="109">
        <v>8</v>
      </c>
      <c r="D4" s="109" t="s">
        <v>501</v>
      </c>
      <c r="E4" s="109">
        <v>5</v>
      </c>
      <c r="G4" s="109" t="s">
        <v>502</v>
      </c>
      <c r="H4" s="109">
        <v>2.5</v>
      </c>
      <c r="J4" s="109" t="s">
        <v>503</v>
      </c>
      <c r="K4" s="109">
        <v>12</v>
      </c>
      <c r="M4" s="109" t="s">
        <v>504</v>
      </c>
      <c r="N4" s="109">
        <v>12</v>
      </c>
      <c r="P4" s="109" t="s">
        <v>505</v>
      </c>
      <c r="Q4" s="109">
        <v>25</v>
      </c>
      <c r="S4" s="109" t="s">
        <v>506</v>
      </c>
      <c r="T4" s="119">
        <f>Start!B105</f>
        <v>28000</v>
      </c>
      <c r="V4" s="109" t="s">
        <v>507</v>
      </c>
      <c r="W4" s="109">
        <v>2</v>
      </c>
      <c r="Y4" s="109" t="s">
        <v>508</v>
      </c>
      <c r="Z4" s="119">
        <f>Start!B113</f>
        <v>2</v>
      </c>
    </row>
    <row r="5" spans="1:26" x14ac:dyDescent="0.25">
      <c r="A5" s="109" t="s">
        <v>509</v>
      </c>
      <c r="B5" s="109">
        <v>16</v>
      </c>
      <c r="D5" s="109" t="s">
        <v>510</v>
      </c>
      <c r="E5" s="109">
        <v>20</v>
      </c>
      <c r="G5" s="109" t="s">
        <v>511</v>
      </c>
      <c r="H5" s="109">
        <v>100</v>
      </c>
      <c r="J5" s="109" t="s">
        <v>512</v>
      </c>
      <c r="K5" s="109">
        <v>12</v>
      </c>
      <c r="M5" s="109" t="s">
        <v>513</v>
      </c>
      <c r="N5" s="109">
        <v>20</v>
      </c>
      <c r="P5" s="109" t="s">
        <v>514</v>
      </c>
      <c r="Q5" s="109">
        <v>5</v>
      </c>
      <c r="S5" s="109" t="s">
        <v>515</v>
      </c>
      <c r="T5" s="109">
        <f>Start!B62</f>
        <v>30</v>
      </c>
      <c r="V5" s="109" t="s">
        <v>516</v>
      </c>
      <c r="Y5" s="109" t="s">
        <v>517</v>
      </c>
      <c r="Z5" s="118">
        <f>Start!B112+0.5</f>
        <v>3.5</v>
      </c>
    </row>
    <row r="6" spans="1:26" x14ac:dyDescent="0.25">
      <c r="A6" s="109" t="s">
        <v>518</v>
      </c>
      <c r="B6" s="109">
        <v>40</v>
      </c>
      <c r="D6" s="109" t="s">
        <v>519</v>
      </c>
      <c r="E6" s="109">
        <v>16</v>
      </c>
      <c r="G6" s="109" t="s">
        <v>520</v>
      </c>
      <c r="H6" s="109">
        <v>2</v>
      </c>
      <c r="M6" s="109" t="s">
        <v>521</v>
      </c>
      <c r="P6" s="109" t="s">
        <v>522</v>
      </c>
      <c r="Q6" s="109">
        <v>250</v>
      </c>
      <c r="S6" s="109" t="s">
        <v>523</v>
      </c>
      <c r="T6" s="109">
        <f>Start!B67</f>
        <v>0.6</v>
      </c>
      <c r="V6" s="109" t="s">
        <v>524</v>
      </c>
      <c r="W6" s="109">
        <v>20</v>
      </c>
      <c r="Y6" s="109" t="s">
        <v>525</v>
      </c>
      <c r="Z6" s="119">
        <f>Start!B112</f>
        <v>3</v>
      </c>
    </row>
    <row r="7" spans="1:26" x14ac:dyDescent="0.25">
      <c r="A7" s="109" t="s">
        <v>526</v>
      </c>
      <c r="B7" s="109">
        <v>20</v>
      </c>
      <c r="D7" s="109" t="s">
        <v>527</v>
      </c>
      <c r="E7" s="109">
        <v>6</v>
      </c>
      <c r="G7" s="109" t="s">
        <v>528</v>
      </c>
      <c r="H7" s="109">
        <v>4</v>
      </c>
      <c r="M7" s="109" t="s">
        <v>529</v>
      </c>
      <c r="P7" s="109" t="s">
        <v>530</v>
      </c>
      <c r="Q7" s="109">
        <v>10</v>
      </c>
      <c r="S7" s="109" t="s">
        <v>531</v>
      </c>
      <c r="T7" s="109">
        <f>Start!B120</f>
        <v>200</v>
      </c>
      <c r="V7" s="109" t="s">
        <v>532</v>
      </c>
      <c r="Y7" s="109" t="s">
        <v>533</v>
      </c>
      <c r="Z7" s="109">
        <v>4</v>
      </c>
    </row>
    <row r="8" spans="1:26" x14ac:dyDescent="0.25">
      <c r="A8" s="109" t="s">
        <v>534</v>
      </c>
      <c r="B8" s="109">
        <v>30</v>
      </c>
      <c r="D8" s="109" t="s">
        <v>535</v>
      </c>
      <c r="E8" s="109">
        <v>50</v>
      </c>
      <c r="G8" s="109" t="s">
        <v>536</v>
      </c>
      <c r="M8" s="109" t="s">
        <v>537</v>
      </c>
      <c r="N8" s="109">
        <v>365</v>
      </c>
      <c r="P8" s="109" t="s">
        <v>538</v>
      </c>
      <c r="Q8" s="109">
        <v>3</v>
      </c>
      <c r="S8" s="109" t="s">
        <v>539</v>
      </c>
      <c r="T8" s="109">
        <f>Start!B121</f>
        <v>100</v>
      </c>
      <c r="V8" s="109" t="s">
        <v>540</v>
      </c>
      <c r="W8" s="109">
        <v>10</v>
      </c>
    </row>
    <row r="9" spans="1:26" x14ac:dyDescent="0.25">
      <c r="A9" s="109" t="s">
        <v>541</v>
      </c>
      <c r="D9" s="109" t="s">
        <v>542</v>
      </c>
      <c r="G9" s="109" t="s">
        <v>543</v>
      </c>
      <c r="H9" s="109">
        <v>200</v>
      </c>
      <c r="M9" s="109" t="s">
        <v>544</v>
      </c>
      <c r="N9" s="109">
        <v>700</v>
      </c>
      <c r="P9" s="109" t="s">
        <v>545</v>
      </c>
      <c r="Q9" s="109">
        <v>4</v>
      </c>
      <c r="S9" s="109" t="s">
        <v>546</v>
      </c>
      <c r="T9" s="109">
        <v>0</v>
      </c>
      <c r="V9" s="109" t="s">
        <v>547</v>
      </c>
      <c r="W9" s="109">
        <v>0.25</v>
      </c>
    </row>
    <row r="10" spans="1:26" x14ac:dyDescent="0.25">
      <c r="A10" s="109" t="s">
        <v>548</v>
      </c>
      <c r="B10" s="109">
        <v>2</v>
      </c>
      <c r="D10" s="109" t="s">
        <v>549</v>
      </c>
      <c r="G10" s="109" t="s">
        <v>550</v>
      </c>
      <c r="H10" s="109">
        <v>5</v>
      </c>
      <c r="M10" s="109" t="s">
        <v>551</v>
      </c>
      <c r="N10" s="109">
        <v>1200</v>
      </c>
      <c r="P10" s="109" t="s">
        <v>552</v>
      </c>
      <c r="S10" s="109" t="s">
        <v>553</v>
      </c>
      <c r="T10" s="109">
        <f>Start!B63</f>
        <v>18</v>
      </c>
      <c r="V10" s="109" t="s">
        <v>554</v>
      </c>
      <c r="W10" s="109">
        <v>0.5</v>
      </c>
    </row>
    <row r="11" spans="1:26" x14ac:dyDescent="0.25">
      <c r="A11" s="109" t="s">
        <v>555</v>
      </c>
      <c r="B11" s="109">
        <v>3</v>
      </c>
      <c r="D11" s="109" t="s">
        <v>556</v>
      </c>
      <c r="E11" s="109">
        <v>4</v>
      </c>
      <c r="G11" s="109" t="s">
        <v>557</v>
      </c>
      <c r="H11" s="109">
        <v>24</v>
      </c>
      <c r="M11" s="109" t="s">
        <v>558</v>
      </c>
      <c r="N11" s="109">
        <v>300</v>
      </c>
      <c r="P11" s="109" t="s">
        <v>559</v>
      </c>
      <c r="Q11" s="109">
        <v>500</v>
      </c>
      <c r="S11" s="109" t="s">
        <v>560</v>
      </c>
      <c r="T11" s="109">
        <f>Start!B68</f>
        <v>0.6</v>
      </c>
      <c r="V11" s="109" t="s">
        <v>561</v>
      </c>
      <c r="W11" s="109">
        <v>8</v>
      </c>
    </row>
    <row r="12" spans="1:26" x14ac:dyDescent="0.25">
      <c r="A12" s="109" t="s">
        <v>562</v>
      </c>
      <c r="B12" s="109">
        <v>80</v>
      </c>
      <c r="G12" s="109" t="s">
        <v>563</v>
      </c>
      <c r="H12" s="109">
        <v>500</v>
      </c>
      <c r="M12" s="109" t="s">
        <v>564</v>
      </c>
      <c r="N12" s="109">
        <v>4000</v>
      </c>
      <c r="P12" s="109" t="s">
        <v>565</v>
      </c>
      <c r="Q12" s="109">
        <v>100</v>
      </c>
      <c r="S12" s="109" t="s">
        <v>566</v>
      </c>
      <c r="T12" s="109">
        <v>200</v>
      </c>
      <c r="V12" s="109" t="s">
        <v>567</v>
      </c>
      <c r="W12" s="109">
        <v>6</v>
      </c>
    </row>
    <row r="13" spans="1:26" x14ac:dyDescent="0.25">
      <c r="A13" s="109" t="s">
        <v>568</v>
      </c>
      <c r="B13" s="109">
        <v>10</v>
      </c>
      <c r="G13" s="109" t="s">
        <v>569</v>
      </c>
      <c r="H13" s="109">
        <v>6</v>
      </c>
      <c r="M13" s="109" t="s">
        <v>570</v>
      </c>
      <c r="P13" s="109" t="s">
        <v>571</v>
      </c>
      <c r="Q13" s="109">
        <v>40</v>
      </c>
      <c r="S13" s="109" t="s">
        <v>572</v>
      </c>
      <c r="T13" s="109">
        <v>75</v>
      </c>
      <c r="V13" s="109" t="s">
        <v>573</v>
      </c>
      <c r="W13" s="109">
        <v>12</v>
      </c>
    </row>
    <row r="14" spans="1:26" x14ac:dyDescent="0.25">
      <c r="A14" s="109" t="s">
        <v>574</v>
      </c>
      <c r="B14" s="109">
        <v>75</v>
      </c>
      <c r="G14" s="109" t="s">
        <v>575</v>
      </c>
      <c r="H14" s="109">
        <v>50</v>
      </c>
      <c r="M14" s="109" t="s">
        <v>576</v>
      </c>
      <c r="N14" s="109">
        <v>200</v>
      </c>
      <c r="P14" s="109" t="s">
        <v>577</v>
      </c>
      <c r="Q14" s="109">
        <v>50</v>
      </c>
      <c r="S14" s="109" t="s">
        <v>578</v>
      </c>
      <c r="T14" s="109">
        <v>0</v>
      </c>
      <c r="V14" s="109" t="s">
        <v>579</v>
      </c>
      <c r="W14" s="109">
        <v>1.5</v>
      </c>
    </row>
    <row r="15" spans="1:26" x14ac:dyDescent="0.25">
      <c r="A15" s="109" t="s">
        <v>580</v>
      </c>
      <c r="B15" s="109">
        <v>5</v>
      </c>
      <c r="G15" s="109" t="s">
        <v>581</v>
      </c>
      <c r="H15" s="109">
        <v>20</v>
      </c>
      <c r="M15" s="109" t="s">
        <v>582</v>
      </c>
      <c r="N15" s="109">
        <v>1000</v>
      </c>
      <c r="P15" s="109" t="s">
        <v>583</v>
      </c>
      <c r="Q15" s="109">
        <v>6</v>
      </c>
      <c r="S15" s="109" t="s">
        <v>584</v>
      </c>
      <c r="T15" s="109">
        <f>Start!B64</f>
        <v>27</v>
      </c>
      <c r="V15" s="109" t="s">
        <v>585</v>
      </c>
      <c r="W15" s="109">
        <v>3</v>
      </c>
    </row>
    <row r="16" spans="1:26" x14ac:dyDescent="0.25">
      <c r="A16" s="109" t="s">
        <v>586</v>
      </c>
      <c r="B16" s="109">
        <v>48</v>
      </c>
      <c r="G16" s="109" t="s">
        <v>587</v>
      </c>
      <c r="H16" s="119">
        <f>Start!B108</f>
        <v>2800</v>
      </c>
      <c r="M16" s="109" t="s">
        <v>588</v>
      </c>
      <c r="N16" s="109">
        <v>3</v>
      </c>
      <c r="P16" s="109" t="s">
        <v>589</v>
      </c>
      <c r="Q16" s="109">
        <v>20</v>
      </c>
      <c r="S16" s="109" t="s">
        <v>590</v>
      </c>
      <c r="T16" s="109">
        <f>Start!B69</f>
        <v>2</v>
      </c>
      <c r="V16" s="109" t="s">
        <v>591</v>
      </c>
      <c r="W16" s="109">
        <v>30</v>
      </c>
    </row>
    <row r="17" spans="1:20" x14ac:dyDescent="0.25">
      <c r="A17" s="109" t="s">
        <v>592</v>
      </c>
      <c r="B17" s="109">
        <v>60</v>
      </c>
      <c r="G17" s="109" t="s">
        <v>593</v>
      </c>
      <c r="M17" s="109" t="s">
        <v>594</v>
      </c>
      <c r="P17" s="109" t="s">
        <v>595</v>
      </c>
      <c r="Q17" s="109">
        <v>0.25</v>
      </c>
      <c r="S17" s="109" t="s">
        <v>596</v>
      </c>
      <c r="T17" s="109">
        <f>Start!B124</f>
        <v>600</v>
      </c>
    </row>
    <row r="18" spans="1:20" x14ac:dyDescent="0.25">
      <c r="A18" s="109" t="s">
        <v>597</v>
      </c>
      <c r="B18" s="109">
        <v>1.5</v>
      </c>
      <c r="G18" s="109" t="s">
        <v>598</v>
      </c>
      <c r="H18" s="109">
        <v>12</v>
      </c>
      <c r="P18" s="109" t="s">
        <v>599</v>
      </c>
      <c r="Q18" s="109">
        <v>15</v>
      </c>
      <c r="S18" s="109" t="s">
        <v>600</v>
      </c>
      <c r="T18" s="109">
        <f>Start!B125</f>
        <v>125</v>
      </c>
    </row>
    <row r="19" spans="1:20" x14ac:dyDescent="0.25">
      <c r="A19" s="109" t="s">
        <v>601</v>
      </c>
      <c r="B19" s="109">
        <v>15</v>
      </c>
      <c r="G19" s="109" t="s">
        <v>602</v>
      </c>
      <c r="H19" s="109">
        <v>25</v>
      </c>
      <c r="P19" s="109" t="s">
        <v>603</v>
      </c>
      <c r="Q19" s="109">
        <v>16</v>
      </c>
      <c r="S19" s="109" t="s">
        <v>604</v>
      </c>
      <c r="T19" s="109">
        <f>Start!B131/100</f>
        <v>0.15</v>
      </c>
    </row>
    <row r="20" spans="1:20" x14ac:dyDescent="0.25">
      <c r="A20" s="109" t="s">
        <v>605</v>
      </c>
      <c r="B20" s="109">
        <v>12</v>
      </c>
      <c r="G20" s="109" t="s">
        <v>606</v>
      </c>
      <c r="P20" s="109" t="s">
        <v>607</v>
      </c>
      <c r="S20" s="109" t="s">
        <v>608</v>
      </c>
      <c r="T20" s="109">
        <f>Start!B65</f>
        <v>21</v>
      </c>
    </row>
    <row r="21" spans="1:20" x14ac:dyDescent="0.25">
      <c r="G21" s="109" t="s">
        <v>609</v>
      </c>
      <c r="P21" s="109" t="s">
        <v>610</v>
      </c>
      <c r="Q21" s="109">
        <v>0.05</v>
      </c>
      <c r="S21" s="109" t="s">
        <v>611</v>
      </c>
      <c r="T21" s="109">
        <f>Start!B70</f>
        <v>2</v>
      </c>
    </row>
    <row r="22" spans="1:20" x14ac:dyDescent="0.25">
      <c r="G22" s="109" t="s">
        <v>612</v>
      </c>
      <c r="P22" s="109" t="s">
        <v>613</v>
      </c>
      <c r="Q22" s="109">
        <v>12</v>
      </c>
      <c r="S22" s="109" t="s">
        <v>614</v>
      </c>
      <c r="T22" s="109">
        <f>Start!B116</f>
        <v>50</v>
      </c>
    </row>
    <row r="23" spans="1:20" x14ac:dyDescent="0.25">
      <c r="G23" s="109" t="s">
        <v>615</v>
      </c>
      <c r="H23" s="109">
        <v>3.5</v>
      </c>
      <c r="P23" s="109" t="s">
        <v>616</v>
      </c>
      <c r="Q23" s="109">
        <v>8</v>
      </c>
      <c r="S23" s="109" t="s">
        <v>617</v>
      </c>
      <c r="T23" s="109">
        <f>Start!B117</f>
        <v>110</v>
      </c>
    </row>
    <row r="24" spans="1:20" x14ac:dyDescent="0.25">
      <c r="G24" s="109" t="s">
        <v>618</v>
      </c>
      <c r="H24" s="109">
        <v>30</v>
      </c>
      <c r="P24" s="109" t="s">
        <v>619</v>
      </c>
      <c r="Q24" s="109">
        <v>2.5</v>
      </c>
      <c r="S24" s="109" t="s">
        <v>620</v>
      </c>
      <c r="T24" s="109">
        <f>Start!B131/100</f>
        <v>0.15</v>
      </c>
    </row>
    <row r="25" spans="1:20" x14ac:dyDescent="0.25">
      <c r="G25" s="109" t="s">
        <v>621</v>
      </c>
      <c r="H25" s="109">
        <v>0.4</v>
      </c>
      <c r="P25" s="109" t="s">
        <v>622</v>
      </c>
      <c r="Q25" s="109">
        <v>200</v>
      </c>
      <c r="S25" s="109" t="s">
        <v>623</v>
      </c>
      <c r="T25" s="109">
        <f>Start!B78</f>
        <v>10440</v>
      </c>
    </row>
    <row r="26" spans="1:20" x14ac:dyDescent="0.25">
      <c r="G26" s="109" t="s">
        <v>624</v>
      </c>
      <c r="H26" s="109">
        <v>0.2</v>
      </c>
      <c r="P26" s="109" t="s">
        <v>625</v>
      </c>
      <c r="Q26" s="109">
        <v>0.38109999999999999</v>
      </c>
      <c r="S26" s="109" t="s">
        <v>626</v>
      </c>
      <c r="T26" s="109">
        <f>Start!B79</f>
        <v>12390</v>
      </c>
    </row>
    <row r="27" spans="1:20" x14ac:dyDescent="0.25">
      <c r="P27" s="109" t="s">
        <v>627</v>
      </c>
      <c r="Q27" s="109">
        <v>24</v>
      </c>
      <c r="S27" s="109" t="s">
        <v>628</v>
      </c>
      <c r="T27" s="109">
        <f>Start!B80</f>
        <v>7890</v>
      </c>
    </row>
    <row r="28" spans="1:20" x14ac:dyDescent="0.25">
      <c r="G28" s="109" t="s">
        <v>629</v>
      </c>
      <c r="H28" s="109">
        <f>IF(OR(Start!D27=1, Start!D29=1),16,8)</f>
        <v>8</v>
      </c>
      <c r="P28" s="109" t="s">
        <v>630</v>
      </c>
      <c r="Q28" s="109">
        <v>3500</v>
      </c>
      <c r="S28" s="109" t="s">
        <v>631</v>
      </c>
      <c r="T28" s="109">
        <f>Start!B84</f>
        <v>18000</v>
      </c>
    </row>
    <row r="29" spans="1:20" x14ac:dyDescent="0.25">
      <c r="G29" s="109" t="s">
        <v>632</v>
      </c>
      <c r="H29" s="109">
        <v>75</v>
      </c>
      <c r="P29" s="109" t="s">
        <v>633</v>
      </c>
      <c r="Q29" s="109">
        <v>1.5</v>
      </c>
      <c r="S29" s="109" t="s">
        <v>634</v>
      </c>
      <c r="T29" s="109">
        <f>Start!B83</f>
        <v>25000</v>
      </c>
    </row>
    <row r="30" spans="1:20" x14ac:dyDescent="0.25">
      <c r="G30" s="109" t="s">
        <v>635</v>
      </c>
      <c r="H30" s="109">
        <v>32</v>
      </c>
      <c r="P30" s="109" t="s">
        <v>636</v>
      </c>
      <c r="Q30" s="109">
        <v>3.5</v>
      </c>
      <c r="S30" s="109" t="s">
        <v>637</v>
      </c>
      <c r="T30" s="109">
        <f>Start!B76</f>
        <v>8490</v>
      </c>
    </row>
    <row r="31" spans="1:20" x14ac:dyDescent="0.25">
      <c r="G31" s="109" t="s">
        <v>638</v>
      </c>
      <c r="H31" s="109">
        <v>40</v>
      </c>
      <c r="P31" s="109" t="s">
        <v>639</v>
      </c>
      <c r="S31" s="109" t="s">
        <v>640</v>
      </c>
      <c r="T31" s="109">
        <f>Start!B77</f>
        <v>12500</v>
      </c>
    </row>
    <row r="32" spans="1:20" x14ac:dyDescent="0.25">
      <c r="P32" s="109" t="s">
        <v>641</v>
      </c>
      <c r="Q32" s="109">
        <v>600</v>
      </c>
      <c r="S32" s="109" t="s">
        <v>642</v>
      </c>
      <c r="T32" s="109">
        <f>Start!B81</f>
        <v>5860</v>
      </c>
    </row>
    <row r="33" spans="1:20" x14ac:dyDescent="0.25">
      <c r="G33" s="109" t="s">
        <v>643</v>
      </c>
      <c r="H33" s="109">
        <v>125</v>
      </c>
      <c r="P33" s="109" t="s">
        <v>644</v>
      </c>
      <c r="Q33" s="109">
        <v>1000</v>
      </c>
      <c r="S33" s="109" t="s">
        <v>645</v>
      </c>
    </row>
    <row r="34" spans="1:20" x14ac:dyDescent="0.25">
      <c r="G34" s="109" t="s">
        <v>646</v>
      </c>
      <c r="P34" s="109" t="s">
        <v>647</v>
      </c>
      <c r="Q34" s="109">
        <v>0.25</v>
      </c>
      <c r="S34" s="109" t="s">
        <v>648</v>
      </c>
      <c r="T34" s="109">
        <f>Start!B82</f>
        <v>10200</v>
      </c>
    </row>
    <row r="35" spans="1:20" x14ac:dyDescent="0.25">
      <c r="G35" s="109" t="s">
        <v>649</v>
      </c>
      <c r="H35" s="109">
        <v>15000</v>
      </c>
      <c r="P35" s="109" t="s">
        <v>650</v>
      </c>
      <c r="Q35" s="109">
        <v>32</v>
      </c>
      <c r="S35" s="109" t="s">
        <v>651</v>
      </c>
    </row>
    <row r="36" spans="1:20" x14ac:dyDescent="0.25">
      <c r="G36" s="109" t="s">
        <v>652</v>
      </c>
      <c r="H36" s="109">
        <v>850</v>
      </c>
      <c r="P36" s="109" t="s">
        <v>653</v>
      </c>
      <c r="Q36" s="109">
        <v>15000</v>
      </c>
      <c r="S36" s="109" t="s">
        <v>654</v>
      </c>
      <c r="T36" s="109">
        <f>Start!B85</f>
        <v>56000</v>
      </c>
    </row>
    <row r="37" spans="1:20" x14ac:dyDescent="0.25">
      <c r="G37" s="109" t="s">
        <v>655</v>
      </c>
      <c r="H37" s="119">
        <f>Start!B109</f>
        <v>1400</v>
      </c>
      <c r="P37" s="109" t="s">
        <v>656</v>
      </c>
      <c r="Q37" s="109">
        <v>2500</v>
      </c>
      <c r="S37" s="109" t="s">
        <v>657</v>
      </c>
      <c r="T37" s="109">
        <f>Start!B88</f>
        <v>20000</v>
      </c>
    </row>
    <row r="38" spans="1:20" x14ac:dyDescent="0.25">
      <c r="S38" s="109" t="s">
        <v>658</v>
      </c>
      <c r="T38" s="109">
        <f>Start!B87</f>
        <v>42000</v>
      </c>
    </row>
    <row r="39" spans="1:20" x14ac:dyDescent="0.25">
      <c r="S39" s="109" t="s">
        <v>659</v>
      </c>
      <c r="T39" s="109">
        <f>Start!B89</f>
        <v>90000</v>
      </c>
    </row>
    <row r="40" spans="1:20" x14ac:dyDescent="0.25">
      <c r="S40" s="109" t="s">
        <v>660</v>
      </c>
      <c r="T40" s="109">
        <f>Start!B103</f>
        <v>9000</v>
      </c>
    </row>
    <row r="41" spans="1:20" x14ac:dyDescent="0.25">
      <c r="S41" s="109" t="s">
        <v>661</v>
      </c>
      <c r="T41" s="109">
        <f>Start!B92</f>
        <v>11500</v>
      </c>
    </row>
    <row r="42" spans="1:20" x14ac:dyDescent="0.25">
      <c r="S42" s="109" t="s">
        <v>662</v>
      </c>
      <c r="T42" s="109">
        <f>Start!B94</f>
        <v>5700</v>
      </c>
    </row>
    <row r="43" spans="1:20" x14ac:dyDescent="0.25">
      <c r="S43" s="109" t="s">
        <v>663</v>
      </c>
      <c r="T43" s="119">
        <f>IF(F!B49+F!B50+F!B58=0,0,Start!B96)</f>
        <v>8000</v>
      </c>
    </row>
    <row r="44" spans="1:20" x14ac:dyDescent="0.25">
      <c r="S44" s="109" t="s">
        <v>664</v>
      </c>
    </row>
    <row r="45" spans="1:20" x14ac:dyDescent="0.25">
      <c r="S45" s="109" t="s">
        <v>665</v>
      </c>
      <c r="T45" s="109">
        <f>Start!B134</f>
        <v>5000</v>
      </c>
    </row>
    <row r="46" spans="1:20" x14ac:dyDescent="0.25">
      <c r="S46" s="109" t="s">
        <v>666</v>
      </c>
      <c r="T46" s="109">
        <f>Start!B137</f>
        <v>1000</v>
      </c>
    </row>
    <row r="47" spans="1:20" x14ac:dyDescent="0.25">
      <c r="A47" s="109" t="s">
        <v>667</v>
      </c>
      <c r="S47" s="109" t="s">
        <v>668</v>
      </c>
      <c r="T47" s="119">
        <f>Start!B111*Start!B112</f>
        <v>4200</v>
      </c>
    </row>
    <row r="48" spans="1:20" x14ac:dyDescent="0.25">
      <c r="S48" s="109" t="s">
        <v>669</v>
      </c>
      <c r="T48" s="119">
        <f>Start!B111*Start!B113</f>
        <v>2800</v>
      </c>
    </row>
    <row r="49" spans="19:20" x14ac:dyDescent="0.25">
      <c r="S49" s="109" t="s">
        <v>670</v>
      </c>
    </row>
    <row r="50" spans="19:20" x14ac:dyDescent="0.25">
      <c r="S50" s="109" t="s">
        <v>671</v>
      </c>
    </row>
    <row r="51" spans="19:20" x14ac:dyDescent="0.25">
      <c r="S51" s="109" t="s">
        <v>672</v>
      </c>
      <c r="T51" s="109">
        <v>2000</v>
      </c>
    </row>
    <row r="52" spans="19:20" x14ac:dyDescent="0.25">
      <c r="S52" s="109" t="s">
        <v>673</v>
      </c>
      <c r="T52" s="109">
        <f>Start!B128</f>
        <v>100</v>
      </c>
    </row>
    <row r="53" spans="19:20" x14ac:dyDescent="0.25">
      <c r="S53" s="109" t="s">
        <v>674</v>
      </c>
      <c r="T53" s="109">
        <f>Start!B130</f>
        <v>125</v>
      </c>
    </row>
    <row r="54" spans="19:20" x14ac:dyDescent="0.25">
      <c r="S54" s="109" t="s">
        <v>675</v>
      </c>
      <c r="T54" s="109">
        <f>Start!B129</f>
        <v>600</v>
      </c>
    </row>
    <row r="55" spans="19:20" x14ac:dyDescent="0.25">
      <c r="S55" s="109" t="s">
        <v>676</v>
      </c>
      <c r="T55" s="109">
        <v>750</v>
      </c>
    </row>
    <row r="56" spans="19:20" x14ac:dyDescent="0.25">
      <c r="S56" s="109" t="s">
        <v>677</v>
      </c>
      <c r="T56" s="109">
        <v>0</v>
      </c>
    </row>
    <row r="57" spans="19:20" x14ac:dyDescent="0.25">
      <c r="S57" s="109" t="s">
        <v>678</v>
      </c>
    </row>
    <row r="58" spans="19:20" x14ac:dyDescent="0.25">
      <c r="S58" s="109" t="s">
        <v>679</v>
      </c>
      <c r="T58" s="109">
        <f>Start!B72</f>
        <v>320</v>
      </c>
    </row>
    <row r="59" spans="19:20" x14ac:dyDescent="0.25">
      <c r="S59" s="109" t="s">
        <v>680</v>
      </c>
      <c r="T59" s="109">
        <f>Start!B73</f>
        <v>51</v>
      </c>
    </row>
    <row r="60" spans="19:20" x14ac:dyDescent="0.25">
      <c r="S60" s="109" t="s">
        <v>681</v>
      </c>
      <c r="T60" s="109">
        <f>Start!B74</f>
        <v>12</v>
      </c>
    </row>
    <row r="61" spans="19:20" x14ac:dyDescent="0.25">
      <c r="S61" s="109" t="s">
        <v>682</v>
      </c>
      <c r="T61" s="109">
        <f>Start!B133</f>
        <v>2</v>
      </c>
    </row>
  </sheetData>
  <sheetProtection sheet="1" objects="1" scenarios="1"/>
  <printOptions gridLines="1" gridLinesSet="0"/>
  <pageMargins left="0.75" right="0.75" top="1" bottom="1" header="0.5" footer="0.5"/>
  <pageSetup scale="84" orientation="portrait" horizontalDpi="300" verticalDpi="300" r:id="rId1"/>
  <headerFooter alignWithMargins="0">
    <oddHeader>&amp;A</oddHead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AEF37-9389-4137-B6DE-7F4F66C3C673}">
  <sheetPr codeName="Sheet3">
    <tabColor theme="8" tint="0.39997558519241921"/>
    <pageSetUpPr fitToPage="1"/>
  </sheetPr>
  <dimension ref="A1:T76"/>
  <sheetViews>
    <sheetView workbookViewId="0">
      <selection activeCell="G33" sqref="G33"/>
    </sheetView>
  </sheetViews>
  <sheetFormatPr defaultRowHeight="12.5" x14ac:dyDescent="0.25"/>
  <cols>
    <col min="1" max="1" width="25" style="109" customWidth="1"/>
    <col min="2" max="2" width="7.7265625" style="109" customWidth="1"/>
    <col min="3" max="3" width="1.7265625" style="109" customWidth="1"/>
    <col min="4" max="4" width="8.453125" style="109" customWidth="1"/>
    <col min="5" max="5" width="6" style="109" bestFit="1" customWidth="1"/>
    <col min="6" max="6" width="2" style="109" customWidth="1"/>
    <col min="7" max="7" width="7.7265625" style="109" customWidth="1"/>
    <col min="8" max="8" width="7" style="109" customWidth="1"/>
    <col min="9" max="9" width="2.26953125" style="109" customWidth="1"/>
    <col min="10" max="10" width="8" style="109" customWidth="1"/>
    <col min="11" max="11" width="6" style="109" bestFit="1" customWidth="1"/>
    <col min="12" max="12" width="2.453125" style="109" customWidth="1"/>
    <col min="13" max="13" width="7.453125" style="109" customWidth="1"/>
    <col min="14" max="14" width="6.7265625" style="109" customWidth="1"/>
    <col min="15" max="15" width="2.7265625" style="109" customWidth="1"/>
    <col min="16" max="16" width="7.453125" style="109" customWidth="1"/>
    <col min="17" max="17" width="8.453125" style="109" bestFit="1" customWidth="1"/>
    <col min="18" max="18" width="3.54296875" style="109" customWidth="1"/>
    <col min="19" max="19" width="9" style="109" customWidth="1"/>
    <col min="20" max="20" width="8.7265625" style="109" customWidth="1"/>
    <col min="21" max="256" width="8.7265625" style="109"/>
    <col min="257" max="257" width="25" style="109" customWidth="1"/>
    <col min="258" max="258" width="7.7265625" style="109" customWidth="1"/>
    <col min="259" max="259" width="1.7265625" style="109" customWidth="1"/>
    <col min="260" max="260" width="8.453125" style="109" customWidth="1"/>
    <col min="261" max="261" width="6" style="109" bestFit="1" customWidth="1"/>
    <col min="262" max="262" width="2" style="109" customWidth="1"/>
    <col min="263" max="263" width="7.7265625" style="109" customWidth="1"/>
    <col min="264" max="264" width="7" style="109" customWidth="1"/>
    <col min="265" max="265" width="2.26953125" style="109" customWidth="1"/>
    <col min="266" max="266" width="8" style="109" customWidth="1"/>
    <col min="267" max="267" width="6" style="109" bestFit="1" customWidth="1"/>
    <col min="268" max="268" width="2.453125" style="109" customWidth="1"/>
    <col min="269" max="269" width="7.453125" style="109" customWidth="1"/>
    <col min="270" max="270" width="6.7265625" style="109" customWidth="1"/>
    <col min="271" max="271" width="2.7265625" style="109" customWidth="1"/>
    <col min="272" max="272" width="7.453125" style="109" customWidth="1"/>
    <col min="273" max="273" width="8.453125" style="109" bestFit="1" customWidth="1"/>
    <col min="274" max="274" width="3.54296875" style="109" customWidth="1"/>
    <col min="275" max="275" width="9" style="109" customWidth="1"/>
    <col min="276" max="512" width="8.7265625" style="109"/>
    <col min="513" max="513" width="25" style="109" customWidth="1"/>
    <col min="514" max="514" width="7.7265625" style="109" customWidth="1"/>
    <col min="515" max="515" width="1.7265625" style="109" customWidth="1"/>
    <col min="516" max="516" width="8.453125" style="109" customWidth="1"/>
    <col min="517" max="517" width="6" style="109" bestFit="1" customWidth="1"/>
    <col min="518" max="518" width="2" style="109" customWidth="1"/>
    <col min="519" max="519" width="7.7265625" style="109" customWidth="1"/>
    <col min="520" max="520" width="7" style="109" customWidth="1"/>
    <col min="521" max="521" width="2.26953125" style="109" customWidth="1"/>
    <col min="522" max="522" width="8" style="109" customWidth="1"/>
    <col min="523" max="523" width="6" style="109" bestFit="1" customWidth="1"/>
    <col min="524" max="524" width="2.453125" style="109" customWidth="1"/>
    <col min="525" max="525" width="7.453125" style="109" customWidth="1"/>
    <col min="526" max="526" width="6.7265625" style="109" customWidth="1"/>
    <col min="527" max="527" width="2.7265625" style="109" customWidth="1"/>
    <col min="528" max="528" width="7.453125" style="109" customWidth="1"/>
    <col min="529" max="529" width="8.453125" style="109" bestFit="1" customWidth="1"/>
    <col min="530" max="530" width="3.54296875" style="109" customWidth="1"/>
    <col min="531" max="531" width="9" style="109" customWidth="1"/>
    <col min="532" max="768" width="8.7265625" style="109"/>
    <col min="769" max="769" width="25" style="109" customWidth="1"/>
    <col min="770" max="770" width="7.7265625" style="109" customWidth="1"/>
    <col min="771" max="771" width="1.7265625" style="109" customWidth="1"/>
    <col min="772" max="772" width="8.453125" style="109" customWidth="1"/>
    <col min="773" max="773" width="6" style="109" bestFit="1" customWidth="1"/>
    <col min="774" max="774" width="2" style="109" customWidth="1"/>
    <col min="775" max="775" width="7.7265625" style="109" customWidth="1"/>
    <col min="776" max="776" width="7" style="109" customWidth="1"/>
    <col min="777" max="777" width="2.26953125" style="109" customWidth="1"/>
    <col min="778" max="778" width="8" style="109" customWidth="1"/>
    <col min="779" max="779" width="6" style="109" bestFit="1" customWidth="1"/>
    <col min="780" max="780" width="2.453125" style="109" customWidth="1"/>
    <col min="781" max="781" width="7.453125" style="109" customWidth="1"/>
    <col min="782" max="782" width="6.7265625" style="109" customWidth="1"/>
    <col min="783" max="783" width="2.7265625" style="109" customWidth="1"/>
    <col min="784" max="784" width="7.453125" style="109" customWidth="1"/>
    <col min="785" max="785" width="8.453125" style="109" bestFit="1" customWidth="1"/>
    <col min="786" max="786" width="3.54296875" style="109" customWidth="1"/>
    <col min="787" max="787" width="9" style="109" customWidth="1"/>
    <col min="788" max="1024" width="8.7265625" style="109"/>
    <col min="1025" max="1025" width="25" style="109" customWidth="1"/>
    <col min="1026" max="1026" width="7.7265625" style="109" customWidth="1"/>
    <col min="1027" max="1027" width="1.7265625" style="109" customWidth="1"/>
    <col min="1028" max="1028" width="8.453125" style="109" customWidth="1"/>
    <col min="1029" max="1029" width="6" style="109" bestFit="1" customWidth="1"/>
    <col min="1030" max="1030" width="2" style="109" customWidth="1"/>
    <col min="1031" max="1031" width="7.7265625" style="109" customWidth="1"/>
    <col min="1032" max="1032" width="7" style="109" customWidth="1"/>
    <col min="1033" max="1033" width="2.26953125" style="109" customWidth="1"/>
    <col min="1034" max="1034" width="8" style="109" customWidth="1"/>
    <col min="1035" max="1035" width="6" style="109" bestFit="1" customWidth="1"/>
    <col min="1036" max="1036" width="2.453125" style="109" customWidth="1"/>
    <col min="1037" max="1037" width="7.453125" style="109" customWidth="1"/>
    <col min="1038" max="1038" width="6.7265625" style="109" customWidth="1"/>
    <col min="1039" max="1039" width="2.7265625" style="109" customWidth="1"/>
    <col min="1040" max="1040" width="7.453125" style="109" customWidth="1"/>
    <col min="1041" max="1041" width="8.453125" style="109" bestFit="1" customWidth="1"/>
    <col min="1042" max="1042" width="3.54296875" style="109" customWidth="1"/>
    <col min="1043" max="1043" width="9" style="109" customWidth="1"/>
    <col min="1044" max="1280" width="8.7265625" style="109"/>
    <col min="1281" max="1281" width="25" style="109" customWidth="1"/>
    <col min="1282" max="1282" width="7.7265625" style="109" customWidth="1"/>
    <col min="1283" max="1283" width="1.7265625" style="109" customWidth="1"/>
    <col min="1284" max="1284" width="8.453125" style="109" customWidth="1"/>
    <col min="1285" max="1285" width="6" style="109" bestFit="1" customWidth="1"/>
    <col min="1286" max="1286" width="2" style="109" customWidth="1"/>
    <col min="1287" max="1287" width="7.7265625" style="109" customWidth="1"/>
    <col min="1288" max="1288" width="7" style="109" customWidth="1"/>
    <col min="1289" max="1289" width="2.26953125" style="109" customWidth="1"/>
    <col min="1290" max="1290" width="8" style="109" customWidth="1"/>
    <col min="1291" max="1291" width="6" style="109" bestFit="1" customWidth="1"/>
    <col min="1292" max="1292" width="2.453125" style="109" customWidth="1"/>
    <col min="1293" max="1293" width="7.453125" style="109" customWidth="1"/>
    <col min="1294" max="1294" width="6.7265625" style="109" customWidth="1"/>
    <col min="1295" max="1295" width="2.7265625" style="109" customWidth="1"/>
    <col min="1296" max="1296" width="7.453125" style="109" customWidth="1"/>
    <col min="1297" max="1297" width="8.453125" style="109" bestFit="1" customWidth="1"/>
    <col min="1298" max="1298" width="3.54296875" style="109" customWidth="1"/>
    <col min="1299" max="1299" width="9" style="109" customWidth="1"/>
    <col min="1300" max="1536" width="8.7265625" style="109"/>
    <col min="1537" max="1537" width="25" style="109" customWidth="1"/>
    <col min="1538" max="1538" width="7.7265625" style="109" customWidth="1"/>
    <col min="1539" max="1539" width="1.7265625" style="109" customWidth="1"/>
    <col min="1540" max="1540" width="8.453125" style="109" customWidth="1"/>
    <col min="1541" max="1541" width="6" style="109" bestFit="1" customWidth="1"/>
    <col min="1542" max="1542" width="2" style="109" customWidth="1"/>
    <col min="1543" max="1543" width="7.7265625" style="109" customWidth="1"/>
    <col min="1544" max="1544" width="7" style="109" customWidth="1"/>
    <col min="1545" max="1545" width="2.26953125" style="109" customWidth="1"/>
    <col min="1546" max="1546" width="8" style="109" customWidth="1"/>
    <col min="1547" max="1547" width="6" style="109" bestFit="1" customWidth="1"/>
    <col min="1548" max="1548" width="2.453125" style="109" customWidth="1"/>
    <col min="1549" max="1549" width="7.453125" style="109" customWidth="1"/>
    <col min="1550" max="1550" width="6.7265625" style="109" customWidth="1"/>
    <col min="1551" max="1551" width="2.7265625" style="109" customWidth="1"/>
    <col min="1552" max="1552" width="7.453125" style="109" customWidth="1"/>
    <col min="1553" max="1553" width="8.453125" style="109" bestFit="1" customWidth="1"/>
    <col min="1554" max="1554" width="3.54296875" style="109" customWidth="1"/>
    <col min="1555" max="1555" width="9" style="109" customWidth="1"/>
    <col min="1556" max="1792" width="8.7265625" style="109"/>
    <col min="1793" max="1793" width="25" style="109" customWidth="1"/>
    <col min="1794" max="1794" width="7.7265625" style="109" customWidth="1"/>
    <col min="1795" max="1795" width="1.7265625" style="109" customWidth="1"/>
    <col min="1796" max="1796" width="8.453125" style="109" customWidth="1"/>
    <col min="1797" max="1797" width="6" style="109" bestFit="1" customWidth="1"/>
    <col min="1798" max="1798" width="2" style="109" customWidth="1"/>
    <col min="1799" max="1799" width="7.7265625" style="109" customWidth="1"/>
    <col min="1800" max="1800" width="7" style="109" customWidth="1"/>
    <col min="1801" max="1801" width="2.26953125" style="109" customWidth="1"/>
    <col min="1802" max="1802" width="8" style="109" customWidth="1"/>
    <col min="1803" max="1803" width="6" style="109" bestFit="1" customWidth="1"/>
    <col min="1804" max="1804" width="2.453125" style="109" customWidth="1"/>
    <col min="1805" max="1805" width="7.453125" style="109" customWidth="1"/>
    <col min="1806" max="1806" width="6.7265625" style="109" customWidth="1"/>
    <col min="1807" max="1807" width="2.7265625" style="109" customWidth="1"/>
    <col min="1808" max="1808" width="7.453125" style="109" customWidth="1"/>
    <col min="1809" max="1809" width="8.453125" style="109" bestFit="1" customWidth="1"/>
    <col min="1810" max="1810" width="3.54296875" style="109" customWidth="1"/>
    <col min="1811" max="1811" width="9" style="109" customWidth="1"/>
    <col min="1812" max="2048" width="8.7265625" style="109"/>
    <col min="2049" max="2049" width="25" style="109" customWidth="1"/>
    <col min="2050" max="2050" width="7.7265625" style="109" customWidth="1"/>
    <col min="2051" max="2051" width="1.7265625" style="109" customWidth="1"/>
    <col min="2052" max="2052" width="8.453125" style="109" customWidth="1"/>
    <col min="2053" max="2053" width="6" style="109" bestFit="1" customWidth="1"/>
    <col min="2054" max="2054" width="2" style="109" customWidth="1"/>
    <col min="2055" max="2055" width="7.7265625" style="109" customWidth="1"/>
    <col min="2056" max="2056" width="7" style="109" customWidth="1"/>
    <col min="2057" max="2057" width="2.26953125" style="109" customWidth="1"/>
    <col min="2058" max="2058" width="8" style="109" customWidth="1"/>
    <col min="2059" max="2059" width="6" style="109" bestFit="1" customWidth="1"/>
    <col min="2060" max="2060" width="2.453125" style="109" customWidth="1"/>
    <col min="2061" max="2061" width="7.453125" style="109" customWidth="1"/>
    <col min="2062" max="2062" width="6.7265625" style="109" customWidth="1"/>
    <col min="2063" max="2063" width="2.7265625" style="109" customWidth="1"/>
    <col min="2064" max="2064" width="7.453125" style="109" customWidth="1"/>
    <col min="2065" max="2065" width="8.453125" style="109" bestFit="1" customWidth="1"/>
    <col min="2066" max="2066" width="3.54296875" style="109" customWidth="1"/>
    <col min="2067" max="2067" width="9" style="109" customWidth="1"/>
    <col min="2068" max="2304" width="8.7265625" style="109"/>
    <col min="2305" max="2305" width="25" style="109" customWidth="1"/>
    <col min="2306" max="2306" width="7.7265625" style="109" customWidth="1"/>
    <col min="2307" max="2307" width="1.7265625" style="109" customWidth="1"/>
    <col min="2308" max="2308" width="8.453125" style="109" customWidth="1"/>
    <col min="2309" max="2309" width="6" style="109" bestFit="1" customWidth="1"/>
    <col min="2310" max="2310" width="2" style="109" customWidth="1"/>
    <col min="2311" max="2311" width="7.7265625" style="109" customWidth="1"/>
    <col min="2312" max="2312" width="7" style="109" customWidth="1"/>
    <col min="2313" max="2313" width="2.26953125" style="109" customWidth="1"/>
    <col min="2314" max="2314" width="8" style="109" customWidth="1"/>
    <col min="2315" max="2315" width="6" style="109" bestFit="1" customWidth="1"/>
    <col min="2316" max="2316" width="2.453125" style="109" customWidth="1"/>
    <col min="2317" max="2317" width="7.453125" style="109" customWidth="1"/>
    <col min="2318" max="2318" width="6.7265625" style="109" customWidth="1"/>
    <col min="2319" max="2319" width="2.7265625" style="109" customWidth="1"/>
    <col min="2320" max="2320" width="7.453125" style="109" customWidth="1"/>
    <col min="2321" max="2321" width="8.453125" style="109" bestFit="1" customWidth="1"/>
    <col min="2322" max="2322" width="3.54296875" style="109" customWidth="1"/>
    <col min="2323" max="2323" width="9" style="109" customWidth="1"/>
    <col min="2324" max="2560" width="8.7265625" style="109"/>
    <col min="2561" max="2561" width="25" style="109" customWidth="1"/>
    <col min="2562" max="2562" width="7.7265625" style="109" customWidth="1"/>
    <col min="2563" max="2563" width="1.7265625" style="109" customWidth="1"/>
    <col min="2564" max="2564" width="8.453125" style="109" customWidth="1"/>
    <col min="2565" max="2565" width="6" style="109" bestFit="1" customWidth="1"/>
    <col min="2566" max="2566" width="2" style="109" customWidth="1"/>
    <col min="2567" max="2567" width="7.7265625" style="109" customWidth="1"/>
    <col min="2568" max="2568" width="7" style="109" customWidth="1"/>
    <col min="2569" max="2569" width="2.26953125" style="109" customWidth="1"/>
    <col min="2570" max="2570" width="8" style="109" customWidth="1"/>
    <col min="2571" max="2571" width="6" style="109" bestFit="1" customWidth="1"/>
    <col min="2572" max="2572" width="2.453125" style="109" customWidth="1"/>
    <col min="2573" max="2573" width="7.453125" style="109" customWidth="1"/>
    <col min="2574" max="2574" width="6.7265625" style="109" customWidth="1"/>
    <col min="2575" max="2575" width="2.7265625" style="109" customWidth="1"/>
    <col min="2576" max="2576" width="7.453125" style="109" customWidth="1"/>
    <col min="2577" max="2577" width="8.453125" style="109" bestFit="1" customWidth="1"/>
    <col min="2578" max="2578" width="3.54296875" style="109" customWidth="1"/>
    <col min="2579" max="2579" width="9" style="109" customWidth="1"/>
    <col min="2580" max="2816" width="8.7265625" style="109"/>
    <col min="2817" max="2817" width="25" style="109" customWidth="1"/>
    <col min="2818" max="2818" width="7.7265625" style="109" customWidth="1"/>
    <col min="2819" max="2819" width="1.7265625" style="109" customWidth="1"/>
    <col min="2820" max="2820" width="8.453125" style="109" customWidth="1"/>
    <col min="2821" max="2821" width="6" style="109" bestFit="1" customWidth="1"/>
    <col min="2822" max="2822" width="2" style="109" customWidth="1"/>
    <col min="2823" max="2823" width="7.7265625" style="109" customWidth="1"/>
    <col min="2824" max="2824" width="7" style="109" customWidth="1"/>
    <col min="2825" max="2825" width="2.26953125" style="109" customWidth="1"/>
    <col min="2826" max="2826" width="8" style="109" customWidth="1"/>
    <col min="2827" max="2827" width="6" style="109" bestFit="1" customWidth="1"/>
    <col min="2828" max="2828" width="2.453125" style="109" customWidth="1"/>
    <col min="2829" max="2829" width="7.453125" style="109" customWidth="1"/>
    <col min="2830" max="2830" width="6.7265625" style="109" customWidth="1"/>
    <col min="2831" max="2831" width="2.7265625" style="109" customWidth="1"/>
    <col min="2832" max="2832" width="7.453125" style="109" customWidth="1"/>
    <col min="2833" max="2833" width="8.453125" style="109" bestFit="1" customWidth="1"/>
    <col min="2834" max="2834" width="3.54296875" style="109" customWidth="1"/>
    <col min="2835" max="2835" width="9" style="109" customWidth="1"/>
    <col min="2836" max="3072" width="8.7265625" style="109"/>
    <col min="3073" max="3073" width="25" style="109" customWidth="1"/>
    <col min="3074" max="3074" width="7.7265625" style="109" customWidth="1"/>
    <col min="3075" max="3075" width="1.7265625" style="109" customWidth="1"/>
    <col min="3076" max="3076" width="8.453125" style="109" customWidth="1"/>
    <col min="3077" max="3077" width="6" style="109" bestFit="1" customWidth="1"/>
    <col min="3078" max="3078" width="2" style="109" customWidth="1"/>
    <col min="3079" max="3079" width="7.7265625" style="109" customWidth="1"/>
    <col min="3080" max="3080" width="7" style="109" customWidth="1"/>
    <col min="3081" max="3081" width="2.26953125" style="109" customWidth="1"/>
    <col min="3082" max="3082" width="8" style="109" customWidth="1"/>
    <col min="3083" max="3083" width="6" style="109" bestFit="1" customWidth="1"/>
    <col min="3084" max="3084" width="2.453125" style="109" customWidth="1"/>
    <col min="3085" max="3085" width="7.453125" style="109" customWidth="1"/>
    <col min="3086" max="3086" width="6.7265625" style="109" customWidth="1"/>
    <col min="3087" max="3087" width="2.7265625" style="109" customWidth="1"/>
    <col min="3088" max="3088" width="7.453125" style="109" customWidth="1"/>
    <col min="3089" max="3089" width="8.453125" style="109" bestFit="1" customWidth="1"/>
    <col min="3090" max="3090" width="3.54296875" style="109" customWidth="1"/>
    <col min="3091" max="3091" width="9" style="109" customWidth="1"/>
    <col min="3092" max="3328" width="8.7265625" style="109"/>
    <col min="3329" max="3329" width="25" style="109" customWidth="1"/>
    <col min="3330" max="3330" width="7.7265625" style="109" customWidth="1"/>
    <col min="3331" max="3331" width="1.7265625" style="109" customWidth="1"/>
    <col min="3332" max="3332" width="8.453125" style="109" customWidth="1"/>
    <col min="3333" max="3333" width="6" style="109" bestFit="1" customWidth="1"/>
    <col min="3334" max="3334" width="2" style="109" customWidth="1"/>
    <col min="3335" max="3335" width="7.7265625" style="109" customWidth="1"/>
    <col min="3336" max="3336" width="7" style="109" customWidth="1"/>
    <col min="3337" max="3337" width="2.26953125" style="109" customWidth="1"/>
    <col min="3338" max="3338" width="8" style="109" customWidth="1"/>
    <col min="3339" max="3339" width="6" style="109" bestFit="1" customWidth="1"/>
    <col min="3340" max="3340" width="2.453125" style="109" customWidth="1"/>
    <col min="3341" max="3341" width="7.453125" style="109" customWidth="1"/>
    <col min="3342" max="3342" width="6.7265625" style="109" customWidth="1"/>
    <col min="3343" max="3343" width="2.7265625" style="109" customWidth="1"/>
    <col min="3344" max="3344" width="7.453125" style="109" customWidth="1"/>
    <col min="3345" max="3345" width="8.453125" style="109" bestFit="1" customWidth="1"/>
    <col min="3346" max="3346" width="3.54296875" style="109" customWidth="1"/>
    <col min="3347" max="3347" width="9" style="109" customWidth="1"/>
    <col min="3348" max="3584" width="8.7265625" style="109"/>
    <col min="3585" max="3585" width="25" style="109" customWidth="1"/>
    <col min="3586" max="3586" width="7.7265625" style="109" customWidth="1"/>
    <col min="3587" max="3587" width="1.7265625" style="109" customWidth="1"/>
    <col min="3588" max="3588" width="8.453125" style="109" customWidth="1"/>
    <col min="3589" max="3589" width="6" style="109" bestFit="1" customWidth="1"/>
    <col min="3590" max="3590" width="2" style="109" customWidth="1"/>
    <col min="3591" max="3591" width="7.7265625" style="109" customWidth="1"/>
    <col min="3592" max="3592" width="7" style="109" customWidth="1"/>
    <col min="3593" max="3593" width="2.26953125" style="109" customWidth="1"/>
    <col min="3594" max="3594" width="8" style="109" customWidth="1"/>
    <col min="3595" max="3595" width="6" style="109" bestFit="1" customWidth="1"/>
    <col min="3596" max="3596" width="2.453125" style="109" customWidth="1"/>
    <col min="3597" max="3597" width="7.453125" style="109" customWidth="1"/>
    <col min="3598" max="3598" width="6.7265625" style="109" customWidth="1"/>
    <col min="3599" max="3599" width="2.7265625" style="109" customWidth="1"/>
    <col min="3600" max="3600" width="7.453125" style="109" customWidth="1"/>
    <col min="3601" max="3601" width="8.453125" style="109" bestFit="1" customWidth="1"/>
    <col min="3602" max="3602" width="3.54296875" style="109" customWidth="1"/>
    <col min="3603" max="3603" width="9" style="109" customWidth="1"/>
    <col min="3604" max="3840" width="8.7265625" style="109"/>
    <col min="3841" max="3841" width="25" style="109" customWidth="1"/>
    <col min="3842" max="3842" width="7.7265625" style="109" customWidth="1"/>
    <col min="3843" max="3843" width="1.7265625" style="109" customWidth="1"/>
    <col min="3844" max="3844" width="8.453125" style="109" customWidth="1"/>
    <col min="3845" max="3845" width="6" style="109" bestFit="1" customWidth="1"/>
    <col min="3846" max="3846" width="2" style="109" customWidth="1"/>
    <col min="3847" max="3847" width="7.7265625" style="109" customWidth="1"/>
    <col min="3848" max="3848" width="7" style="109" customWidth="1"/>
    <col min="3849" max="3849" width="2.26953125" style="109" customWidth="1"/>
    <col min="3850" max="3850" width="8" style="109" customWidth="1"/>
    <col min="3851" max="3851" width="6" style="109" bestFit="1" customWidth="1"/>
    <col min="3852" max="3852" width="2.453125" style="109" customWidth="1"/>
    <col min="3853" max="3853" width="7.453125" style="109" customWidth="1"/>
    <col min="3854" max="3854" width="6.7265625" style="109" customWidth="1"/>
    <col min="3855" max="3855" width="2.7265625" style="109" customWidth="1"/>
    <col min="3856" max="3856" width="7.453125" style="109" customWidth="1"/>
    <col min="3857" max="3857" width="8.453125" style="109" bestFit="1" customWidth="1"/>
    <col min="3858" max="3858" width="3.54296875" style="109" customWidth="1"/>
    <col min="3859" max="3859" width="9" style="109" customWidth="1"/>
    <col min="3860" max="4096" width="8.7265625" style="109"/>
    <col min="4097" max="4097" width="25" style="109" customWidth="1"/>
    <col min="4098" max="4098" width="7.7265625" style="109" customWidth="1"/>
    <col min="4099" max="4099" width="1.7265625" style="109" customWidth="1"/>
    <col min="4100" max="4100" width="8.453125" style="109" customWidth="1"/>
    <col min="4101" max="4101" width="6" style="109" bestFit="1" customWidth="1"/>
    <col min="4102" max="4102" width="2" style="109" customWidth="1"/>
    <col min="4103" max="4103" width="7.7265625" style="109" customWidth="1"/>
    <col min="4104" max="4104" width="7" style="109" customWidth="1"/>
    <col min="4105" max="4105" width="2.26953125" style="109" customWidth="1"/>
    <col min="4106" max="4106" width="8" style="109" customWidth="1"/>
    <col min="4107" max="4107" width="6" style="109" bestFit="1" customWidth="1"/>
    <col min="4108" max="4108" width="2.453125" style="109" customWidth="1"/>
    <col min="4109" max="4109" width="7.453125" style="109" customWidth="1"/>
    <col min="4110" max="4110" width="6.7265625" style="109" customWidth="1"/>
    <col min="4111" max="4111" width="2.7265625" style="109" customWidth="1"/>
    <col min="4112" max="4112" width="7.453125" style="109" customWidth="1"/>
    <col min="4113" max="4113" width="8.453125" style="109" bestFit="1" customWidth="1"/>
    <col min="4114" max="4114" width="3.54296875" style="109" customWidth="1"/>
    <col min="4115" max="4115" width="9" style="109" customWidth="1"/>
    <col min="4116" max="4352" width="8.7265625" style="109"/>
    <col min="4353" max="4353" width="25" style="109" customWidth="1"/>
    <col min="4354" max="4354" width="7.7265625" style="109" customWidth="1"/>
    <col min="4355" max="4355" width="1.7265625" style="109" customWidth="1"/>
    <col min="4356" max="4356" width="8.453125" style="109" customWidth="1"/>
    <col min="4357" max="4357" width="6" style="109" bestFit="1" customWidth="1"/>
    <col min="4358" max="4358" width="2" style="109" customWidth="1"/>
    <col min="4359" max="4359" width="7.7265625" style="109" customWidth="1"/>
    <col min="4360" max="4360" width="7" style="109" customWidth="1"/>
    <col min="4361" max="4361" width="2.26953125" style="109" customWidth="1"/>
    <col min="4362" max="4362" width="8" style="109" customWidth="1"/>
    <col min="4363" max="4363" width="6" style="109" bestFit="1" customWidth="1"/>
    <col min="4364" max="4364" width="2.453125" style="109" customWidth="1"/>
    <col min="4365" max="4365" width="7.453125" style="109" customWidth="1"/>
    <col min="4366" max="4366" width="6.7265625" style="109" customWidth="1"/>
    <col min="4367" max="4367" width="2.7265625" style="109" customWidth="1"/>
    <col min="4368" max="4368" width="7.453125" style="109" customWidth="1"/>
    <col min="4369" max="4369" width="8.453125" style="109" bestFit="1" customWidth="1"/>
    <col min="4370" max="4370" width="3.54296875" style="109" customWidth="1"/>
    <col min="4371" max="4371" width="9" style="109" customWidth="1"/>
    <col min="4372" max="4608" width="8.7265625" style="109"/>
    <col min="4609" max="4609" width="25" style="109" customWidth="1"/>
    <col min="4610" max="4610" width="7.7265625" style="109" customWidth="1"/>
    <col min="4611" max="4611" width="1.7265625" style="109" customWidth="1"/>
    <col min="4612" max="4612" width="8.453125" style="109" customWidth="1"/>
    <col min="4613" max="4613" width="6" style="109" bestFit="1" customWidth="1"/>
    <col min="4614" max="4614" width="2" style="109" customWidth="1"/>
    <col min="4615" max="4615" width="7.7265625" style="109" customWidth="1"/>
    <col min="4616" max="4616" width="7" style="109" customWidth="1"/>
    <col min="4617" max="4617" width="2.26953125" style="109" customWidth="1"/>
    <col min="4618" max="4618" width="8" style="109" customWidth="1"/>
    <col min="4619" max="4619" width="6" style="109" bestFit="1" customWidth="1"/>
    <col min="4620" max="4620" width="2.453125" style="109" customWidth="1"/>
    <col min="4621" max="4621" width="7.453125" style="109" customWidth="1"/>
    <col min="4622" max="4622" width="6.7265625" style="109" customWidth="1"/>
    <col min="4623" max="4623" width="2.7265625" style="109" customWidth="1"/>
    <col min="4624" max="4624" width="7.453125" style="109" customWidth="1"/>
    <col min="4625" max="4625" width="8.453125" style="109" bestFit="1" customWidth="1"/>
    <col min="4626" max="4626" width="3.54296875" style="109" customWidth="1"/>
    <col min="4627" max="4627" width="9" style="109" customWidth="1"/>
    <col min="4628" max="4864" width="8.7265625" style="109"/>
    <col min="4865" max="4865" width="25" style="109" customWidth="1"/>
    <col min="4866" max="4866" width="7.7265625" style="109" customWidth="1"/>
    <col min="4867" max="4867" width="1.7265625" style="109" customWidth="1"/>
    <col min="4868" max="4868" width="8.453125" style="109" customWidth="1"/>
    <col min="4869" max="4869" width="6" style="109" bestFit="1" customWidth="1"/>
    <col min="4870" max="4870" width="2" style="109" customWidth="1"/>
    <col min="4871" max="4871" width="7.7265625" style="109" customWidth="1"/>
    <col min="4872" max="4872" width="7" style="109" customWidth="1"/>
    <col min="4873" max="4873" width="2.26953125" style="109" customWidth="1"/>
    <col min="4874" max="4874" width="8" style="109" customWidth="1"/>
    <col min="4875" max="4875" width="6" style="109" bestFit="1" customWidth="1"/>
    <col min="4876" max="4876" width="2.453125" style="109" customWidth="1"/>
    <col min="4877" max="4877" width="7.453125" style="109" customWidth="1"/>
    <col min="4878" max="4878" width="6.7265625" style="109" customWidth="1"/>
    <col min="4879" max="4879" width="2.7265625" style="109" customWidth="1"/>
    <col min="4880" max="4880" width="7.453125" style="109" customWidth="1"/>
    <col min="4881" max="4881" width="8.453125" style="109" bestFit="1" customWidth="1"/>
    <col min="4882" max="4882" width="3.54296875" style="109" customWidth="1"/>
    <col min="4883" max="4883" width="9" style="109" customWidth="1"/>
    <col min="4884" max="5120" width="8.7265625" style="109"/>
    <col min="5121" max="5121" width="25" style="109" customWidth="1"/>
    <col min="5122" max="5122" width="7.7265625" style="109" customWidth="1"/>
    <col min="5123" max="5123" width="1.7265625" style="109" customWidth="1"/>
    <col min="5124" max="5124" width="8.453125" style="109" customWidth="1"/>
    <col min="5125" max="5125" width="6" style="109" bestFit="1" customWidth="1"/>
    <col min="5126" max="5126" width="2" style="109" customWidth="1"/>
    <col min="5127" max="5127" width="7.7265625" style="109" customWidth="1"/>
    <col min="5128" max="5128" width="7" style="109" customWidth="1"/>
    <col min="5129" max="5129" width="2.26953125" style="109" customWidth="1"/>
    <col min="5130" max="5130" width="8" style="109" customWidth="1"/>
    <col min="5131" max="5131" width="6" style="109" bestFit="1" customWidth="1"/>
    <col min="5132" max="5132" width="2.453125" style="109" customWidth="1"/>
    <col min="5133" max="5133" width="7.453125" style="109" customWidth="1"/>
    <col min="5134" max="5134" width="6.7265625" style="109" customWidth="1"/>
    <col min="5135" max="5135" width="2.7265625" style="109" customWidth="1"/>
    <col min="5136" max="5136" width="7.453125" style="109" customWidth="1"/>
    <col min="5137" max="5137" width="8.453125" style="109" bestFit="1" customWidth="1"/>
    <col min="5138" max="5138" width="3.54296875" style="109" customWidth="1"/>
    <col min="5139" max="5139" width="9" style="109" customWidth="1"/>
    <col min="5140" max="5376" width="8.7265625" style="109"/>
    <col min="5377" max="5377" width="25" style="109" customWidth="1"/>
    <col min="5378" max="5378" width="7.7265625" style="109" customWidth="1"/>
    <col min="5379" max="5379" width="1.7265625" style="109" customWidth="1"/>
    <col min="5380" max="5380" width="8.453125" style="109" customWidth="1"/>
    <col min="5381" max="5381" width="6" style="109" bestFit="1" customWidth="1"/>
    <col min="5382" max="5382" width="2" style="109" customWidth="1"/>
    <col min="5383" max="5383" width="7.7265625" style="109" customWidth="1"/>
    <col min="5384" max="5384" width="7" style="109" customWidth="1"/>
    <col min="5385" max="5385" width="2.26953125" style="109" customWidth="1"/>
    <col min="5386" max="5386" width="8" style="109" customWidth="1"/>
    <col min="5387" max="5387" width="6" style="109" bestFit="1" customWidth="1"/>
    <col min="5388" max="5388" width="2.453125" style="109" customWidth="1"/>
    <col min="5389" max="5389" width="7.453125" style="109" customWidth="1"/>
    <col min="5390" max="5390" width="6.7265625" style="109" customWidth="1"/>
    <col min="5391" max="5391" width="2.7265625" style="109" customWidth="1"/>
    <col min="5392" max="5392" width="7.453125" style="109" customWidth="1"/>
    <col min="5393" max="5393" width="8.453125" style="109" bestFit="1" customWidth="1"/>
    <col min="5394" max="5394" width="3.54296875" style="109" customWidth="1"/>
    <col min="5395" max="5395" width="9" style="109" customWidth="1"/>
    <col min="5396" max="5632" width="8.7265625" style="109"/>
    <col min="5633" max="5633" width="25" style="109" customWidth="1"/>
    <col min="5634" max="5634" width="7.7265625" style="109" customWidth="1"/>
    <col min="5635" max="5635" width="1.7265625" style="109" customWidth="1"/>
    <col min="5636" max="5636" width="8.453125" style="109" customWidth="1"/>
    <col min="5637" max="5637" width="6" style="109" bestFit="1" customWidth="1"/>
    <col min="5638" max="5638" width="2" style="109" customWidth="1"/>
    <col min="5639" max="5639" width="7.7265625" style="109" customWidth="1"/>
    <col min="5640" max="5640" width="7" style="109" customWidth="1"/>
    <col min="5641" max="5641" width="2.26953125" style="109" customWidth="1"/>
    <col min="5642" max="5642" width="8" style="109" customWidth="1"/>
    <col min="5643" max="5643" width="6" style="109" bestFit="1" customWidth="1"/>
    <col min="5644" max="5644" width="2.453125" style="109" customWidth="1"/>
    <col min="5645" max="5645" width="7.453125" style="109" customWidth="1"/>
    <col min="5646" max="5646" width="6.7265625" style="109" customWidth="1"/>
    <col min="5647" max="5647" width="2.7265625" style="109" customWidth="1"/>
    <col min="5648" max="5648" width="7.453125" style="109" customWidth="1"/>
    <col min="5649" max="5649" width="8.453125" style="109" bestFit="1" customWidth="1"/>
    <col min="5650" max="5650" width="3.54296875" style="109" customWidth="1"/>
    <col min="5651" max="5651" width="9" style="109" customWidth="1"/>
    <col min="5652" max="5888" width="8.7265625" style="109"/>
    <col min="5889" max="5889" width="25" style="109" customWidth="1"/>
    <col min="5890" max="5890" width="7.7265625" style="109" customWidth="1"/>
    <col min="5891" max="5891" width="1.7265625" style="109" customWidth="1"/>
    <col min="5892" max="5892" width="8.453125" style="109" customWidth="1"/>
    <col min="5893" max="5893" width="6" style="109" bestFit="1" customWidth="1"/>
    <col min="5894" max="5894" width="2" style="109" customWidth="1"/>
    <col min="5895" max="5895" width="7.7265625" style="109" customWidth="1"/>
    <col min="5896" max="5896" width="7" style="109" customWidth="1"/>
    <col min="5897" max="5897" width="2.26953125" style="109" customWidth="1"/>
    <col min="5898" max="5898" width="8" style="109" customWidth="1"/>
    <col min="5899" max="5899" width="6" style="109" bestFit="1" customWidth="1"/>
    <col min="5900" max="5900" width="2.453125" style="109" customWidth="1"/>
    <col min="5901" max="5901" width="7.453125" style="109" customWidth="1"/>
    <col min="5902" max="5902" width="6.7265625" style="109" customWidth="1"/>
    <col min="5903" max="5903" width="2.7265625" style="109" customWidth="1"/>
    <col min="5904" max="5904" width="7.453125" style="109" customWidth="1"/>
    <col min="5905" max="5905" width="8.453125" style="109" bestFit="1" customWidth="1"/>
    <col min="5906" max="5906" width="3.54296875" style="109" customWidth="1"/>
    <col min="5907" max="5907" width="9" style="109" customWidth="1"/>
    <col min="5908" max="6144" width="8.7265625" style="109"/>
    <col min="6145" max="6145" width="25" style="109" customWidth="1"/>
    <col min="6146" max="6146" width="7.7265625" style="109" customWidth="1"/>
    <col min="6147" max="6147" width="1.7265625" style="109" customWidth="1"/>
    <col min="6148" max="6148" width="8.453125" style="109" customWidth="1"/>
    <col min="6149" max="6149" width="6" style="109" bestFit="1" customWidth="1"/>
    <col min="6150" max="6150" width="2" style="109" customWidth="1"/>
    <col min="6151" max="6151" width="7.7265625" style="109" customWidth="1"/>
    <col min="6152" max="6152" width="7" style="109" customWidth="1"/>
    <col min="6153" max="6153" width="2.26953125" style="109" customWidth="1"/>
    <col min="6154" max="6154" width="8" style="109" customWidth="1"/>
    <col min="6155" max="6155" width="6" style="109" bestFit="1" customWidth="1"/>
    <col min="6156" max="6156" width="2.453125" style="109" customWidth="1"/>
    <col min="6157" max="6157" width="7.453125" style="109" customWidth="1"/>
    <col min="6158" max="6158" width="6.7265625" style="109" customWidth="1"/>
    <col min="6159" max="6159" width="2.7265625" style="109" customWidth="1"/>
    <col min="6160" max="6160" width="7.453125" style="109" customWidth="1"/>
    <col min="6161" max="6161" width="8.453125" style="109" bestFit="1" customWidth="1"/>
    <col min="6162" max="6162" width="3.54296875" style="109" customWidth="1"/>
    <col min="6163" max="6163" width="9" style="109" customWidth="1"/>
    <col min="6164" max="6400" width="8.7265625" style="109"/>
    <col min="6401" max="6401" width="25" style="109" customWidth="1"/>
    <col min="6402" max="6402" width="7.7265625" style="109" customWidth="1"/>
    <col min="6403" max="6403" width="1.7265625" style="109" customWidth="1"/>
    <col min="6404" max="6404" width="8.453125" style="109" customWidth="1"/>
    <col min="6405" max="6405" width="6" style="109" bestFit="1" customWidth="1"/>
    <col min="6406" max="6406" width="2" style="109" customWidth="1"/>
    <col min="6407" max="6407" width="7.7265625" style="109" customWidth="1"/>
    <col min="6408" max="6408" width="7" style="109" customWidth="1"/>
    <col min="6409" max="6409" width="2.26953125" style="109" customWidth="1"/>
    <col min="6410" max="6410" width="8" style="109" customWidth="1"/>
    <col min="6411" max="6411" width="6" style="109" bestFit="1" customWidth="1"/>
    <col min="6412" max="6412" width="2.453125" style="109" customWidth="1"/>
    <col min="6413" max="6413" width="7.453125" style="109" customWidth="1"/>
    <col min="6414" max="6414" width="6.7265625" style="109" customWidth="1"/>
    <col min="6415" max="6415" width="2.7265625" style="109" customWidth="1"/>
    <col min="6416" max="6416" width="7.453125" style="109" customWidth="1"/>
    <col min="6417" max="6417" width="8.453125" style="109" bestFit="1" customWidth="1"/>
    <col min="6418" max="6418" width="3.54296875" style="109" customWidth="1"/>
    <col min="6419" max="6419" width="9" style="109" customWidth="1"/>
    <col min="6420" max="6656" width="8.7265625" style="109"/>
    <col min="6657" max="6657" width="25" style="109" customWidth="1"/>
    <col min="6658" max="6658" width="7.7265625" style="109" customWidth="1"/>
    <col min="6659" max="6659" width="1.7265625" style="109" customWidth="1"/>
    <col min="6660" max="6660" width="8.453125" style="109" customWidth="1"/>
    <col min="6661" max="6661" width="6" style="109" bestFit="1" customWidth="1"/>
    <col min="6662" max="6662" width="2" style="109" customWidth="1"/>
    <col min="6663" max="6663" width="7.7265625" style="109" customWidth="1"/>
    <col min="6664" max="6664" width="7" style="109" customWidth="1"/>
    <col min="6665" max="6665" width="2.26953125" style="109" customWidth="1"/>
    <col min="6666" max="6666" width="8" style="109" customWidth="1"/>
    <col min="6667" max="6667" width="6" style="109" bestFit="1" customWidth="1"/>
    <col min="6668" max="6668" width="2.453125" style="109" customWidth="1"/>
    <col min="6669" max="6669" width="7.453125" style="109" customWidth="1"/>
    <col min="6670" max="6670" width="6.7265625" style="109" customWidth="1"/>
    <col min="6671" max="6671" width="2.7265625" style="109" customWidth="1"/>
    <col min="6672" max="6672" width="7.453125" style="109" customWidth="1"/>
    <col min="6673" max="6673" width="8.453125" style="109" bestFit="1" customWidth="1"/>
    <col min="6674" max="6674" width="3.54296875" style="109" customWidth="1"/>
    <col min="6675" max="6675" width="9" style="109" customWidth="1"/>
    <col min="6676" max="6912" width="8.7265625" style="109"/>
    <col min="6913" max="6913" width="25" style="109" customWidth="1"/>
    <col min="6914" max="6914" width="7.7265625" style="109" customWidth="1"/>
    <col min="6915" max="6915" width="1.7265625" style="109" customWidth="1"/>
    <col min="6916" max="6916" width="8.453125" style="109" customWidth="1"/>
    <col min="6917" max="6917" width="6" style="109" bestFit="1" customWidth="1"/>
    <col min="6918" max="6918" width="2" style="109" customWidth="1"/>
    <col min="6919" max="6919" width="7.7265625" style="109" customWidth="1"/>
    <col min="6920" max="6920" width="7" style="109" customWidth="1"/>
    <col min="6921" max="6921" width="2.26953125" style="109" customWidth="1"/>
    <col min="6922" max="6922" width="8" style="109" customWidth="1"/>
    <col min="6923" max="6923" width="6" style="109" bestFit="1" customWidth="1"/>
    <col min="6924" max="6924" width="2.453125" style="109" customWidth="1"/>
    <col min="6925" max="6925" width="7.453125" style="109" customWidth="1"/>
    <col min="6926" max="6926" width="6.7265625" style="109" customWidth="1"/>
    <col min="6927" max="6927" width="2.7265625" style="109" customWidth="1"/>
    <col min="6928" max="6928" width="7.453125" style="109" customWidth="1"/>
    <col min="6929" max="6929" width="8.453125" style="109" bestFit="1" customWidth="1"/>
    <col min="6930" max="6930" width="3.54296875" style="109" customWidth="1"/>
    <col min="6931" max="6931" width="9" style="109" customWidth="1"/>
    <col min="6932" max="7168" width="8.7265625" style="109"/>
    <col min="7169" max="7169" width="25" style="109" customWidth="1"/>
    <col min="7170" max="7170" width="7.7265625" style="109" customWidth="1"/>
    <col min="7171" max="7171" width="1.7265625" style="109" customWidth="1"/>
    <col min="7172" max="7172" width="8.453125" style="109" customWidth="1"/>
    <col min="7173" max="7173" width="6" style="109" bestFit="1" customWidth="1"/>
    <col min="7174" max="7174" width="2" style="109" customWidth="1"/>
    <col min="7175" max="7175" width="7.7265625" style="109" customWidth="1"/>
    <col min="7176" max="7176" width="7" style="109" customWidth="1"/>
    <col min="7177" max="7177" width="2.26953125" style="109" customWidth="1"/>
    <col min="7178" max="7178" width="8" style="109" customWidth="1"/>
    <col min="7179" max="7179" width="6" style="109" bestFit="1" customWidth="1"/>
    <col min="7180" max="7180" width="2.453125" style="109" customWidth="1"/>
    <col min="7181" max="7181" width="7.453125" style="109" customWidth="1"/>
    <col min="7182" max="7182" width="6.7265625" style="109" customWidth="1"/>
    <col min="7183" max="7183" width="2.7265625" style="109" customWidth="1"/>
    <col min="7184" max="7184" width="7.453125" style="109" customWidth="1"/>
    <col min="7185" max="7185" width="8.453125" style="109" bestFit="1" customWidth="1"/>
    <col min="7186" max="7186" width="3.54296875" style="109" customWidth="1"/>
    <col min="7187" max="7187" width="9" style="109" customWidth="1"/>
    <col min="7188" max="7424" width="8.7265625" style="109"/>
    <col min="7425" max="7425" width="25" style="109" customWidth="1"/>
    <col min="7426" max="7426" width="7.7265625" style="109" customWidth="1"/>
    <col min="7427" max="7427" width="1.7265625" style="109" customWidth="1"/>
    <col min="7428" max="7428" width="8.453125" style="109" customWidth="1"/>
    <col min="7429" max="7429" width="6" style="109" bestFit="1" customWidth="1"/>
    <col min="7430" max="7430" width="2" style="109" customWidth="1"/>
    <col min="7431" max="7431" width="7.7265625" style="109" customWidth="1"/>
    <col min="7432" max="7432" width="7" style="109" customWidth="1"/>
    <col min="7433" max="7433" width="2.26953125" style="109" customWidth="1"/>
    <col min="7434" max="7434" width="8" style="109" customWidth="1"/>
    <col min="7435" max="7435" width="6" style="109" bestFit="1" customWidth="1"/>
    <col min="7436" max="7436" width="2.453125" style="109" customWidth="1"/>
    <col min="7437" max="7437" width="7.453125" style="109" customWidth="1"/>
    <col min="7438" max="7438" width="6.7265625" style="109" customWidth="1"/>
    <col min="7439" max="7439" width="2.7265625" style="109" customWidth="1"/>
    <col min="7440" max="7440" width="7.453125" style="109" customWidth="1"/>
    <col min="7441" max="7441" width="8.453125" style="109" bestFit="1" customWidth="1"/>
    <col min="7442" max="7442" width="3.54296875" style="109" customWidth="1"/>
    <col min="7443" max="7443" width="9" style="109" customWidth="1"/>
    <col min="7444" max="7680" width="8.7265625" style="109"/>
    <col min="7681" max="7681" width="25" style="109" customWidth="1"/>
    <col min="7682" max="7682" width="7.7265625" style="109" customWidth="1"/>
    <col min="7683" max="7683" width="1.7265625" style="109" customWidth="1"/>
    <col min="7684" max="7684" width="8.453125" style="109" customWidth="1"/>
    <col min="7685" max="7685" width="6" style="109" bestFit="1" customWidth="1"/>
    <col min="7686" max="7686" width="2" style="109" customWidth="1"/>
    <col min="7687" max="7687" width="7.7265625" style="109" customWidth="1"/>
    <col min="7688" max="7688" width="7" style="109" customWidth="1"/>
    <col min="7689" max="7689" width="2.26953125" style="109" customWidth="1"/>
    <col min="7690" max="7690" width="8" style="109" customWidth="1"/>
    <col min="7691" max="7691" width="6" style="109" bestFit="1" customWidth="1"/>
    <col min="7692" max="7692" width="2.453125" style="109" customWidth="1"/>
    <col min="7693" max="7693" width="7.453125" style="109" customWidth="1"/>
    <col min="7694" max="7694" width="6.7265625" style="109" customWidth="1"/>
    <col min="7695" max="7695" width="2.7265625" style="109" customWidth="1"/>
    <col min="7696" max="7696" width="7.453125" style="109" customWidth="1"/>
    <col min="7697" max="7697" width="8.453125" style="109" bestFit="1" customWidth="1"/>
    <col min="7698" max="7698" width="3.54296875" style="109" customWidth="1"/>
    <col min="7699" max="7699" width="9" style="109" customWidth="1"/>
    <col min="7700" max="7936" width="8.7265625" style="109"/>
    <col min="7937" max="7937" width="25" style="109" customWidth="1"/>
    <col min="7938" max="7938" width="7.7265625" style="109" customWidth="1"/>
    <col min="7939" max="7939" width="1.7265625" style="109" customWidth="1"/>
    <col min="7940" max="7940" width="8.453125" style="109" customWidth="1"/>
    <col min="7941" max="7941" width="6" style="109" bestFit="1" customWidth="1"/>
    <col min="7942" max="7942" width="2" style="109" customWidth="1"/>
    <col min="7943" max="7943" width="7.7265625" style="109" customWidth="1"/>
    <col min="7944" max="7944" width="7" style="109" customWidth="1"/>
    <col min="7945" max="7945" width="2.26953125" style="109" customWidth="1"/>
    <col min="7946" max="7946" width="8" style="109" customWidth="1"/>
    <col min="7947" max="7947" width="6" style="109" bestFit="1" customWidth="1"/>
    <col min="7948" max="7948" width="2.453125" style="109" customWidth="1"/>
    <col min="7949" max="7949" width="7.453125" style="109" customWidth="1"/>
    <col min="7950" max="7950" width="6.7265625" style="109" customWidth="1"/>
    <col min="7951" max="7951" width="2.7265625" style="109" customWidth="1"/>
    <col min="7952" max="7952" width="7.453125" style="109" customWidth="1"/>
    <col min="7953" max="7953" width="8.453125" style="109" bestFit="1" customWidth="1"/>
    <col min="7954" max="7954" width="3.54296875" style="109" customWidth="1"/>
    <col min="7955" max="7955" width="9" style="109" customWidth="1"/>
    <col min="7956" max="8192" width="8.7265625" style="109"/>
    <col min="8193" max="8193" width="25" style="109" customWidth="1"/>
    <col min="8194" max="8194" width="7.7265625" style="109" customWidth="1"/>
    <col min="8195" max="8195" width="1.7265625" style="109" customWidth="1"/>
    <col min="8196" max="8196" width="8.453125" style="109" customWidth="1"/>
    <col min="8197" max="8197" width="6" style="109" bestFit="1" customWidth="1"/>
    <col min="8198" max="8198" width="2" style="109" customWidth="1"/>
    <col min="8199" max="8199" width="7.7265625" style="109" customWidth="1"/>
    <col min="8200" max="8200" width="7" style="109" customWidth="1"/>
    <col min="8201" max="8201" width="2.26953125" style="109" customWidth="1"/>
    <col min="8202" max="8202" width="8" style="109" customWidth="1"/>
    <col min="8203" max="8203" width="6" style="109" bestFit="1" customWidth="1"/>
    <col min="8204" max="8204" width="2.453125" style="109" customWidth="1"/>
    <col min="8205" max="8205" width="7.453125" style="109" customWidth="1"/>
    <col min="8206" max="8206" width="6.7265625" style="109" customWidth="1"/>
    <col min="8207" max="8207" width="2.7265625" style="109" customWidth="1"/>
    <col min="8208" max="8208" width="7.453125" style="109" customWidth="1"/>
    <col min="8209" max="8209" width="8.453125" style="109" bestFit="1" customWidth="1"/>
    <col min="8210" max="8210" width="3.54296875" style="109" customWidth="1"/>
    <col min="8211" max="8211" width="9" style="109" customWidth="1"/>
    <col min="8212" max="8448" width="8.7265625" style="109"/>
    <col min="8449" max="8449" width="25" style="109" customWidth="1"/>
    <col min="8450" max="8450" width="7.7265625" style="109" customWidth="1"/>
    <col min="8451" max="8451" width="1.7265625" style="109" customWidth="1"/>
    <col min="8452" max="8452" width="8.453125" style="109" customWidth="1"/>
    <col min="8453" max="8453" width="6" style="109" bestFit="1" customWidth="1"/>
    <col min="8454" max="8454" width="2" style="109" customWidth="1"/>
    <col min="8455" max="8455" width="7.7265625" style="109" customWidth="1"/>
    <col min="8456" max="8456" width="7" style="109" customWidth="1"/>
    <col min="8457" max="8457" width="2.26953125" style="109" customWidth="1"/>
    <col min="8458" max="8458" width="8" style="109" customWidth="1"/>
    <col min="8459" max="8459" width="6" style="109" bestFit="1" customWidth="1"/>
    <col min="8460" max="8460" width="2.453125" style="109" customWidth="1"/>
    <col min="8461" max="8461" width="7.453125" style="109" customWidth="1"/>
    <col min="8462" max="8462" width="6.7265625" style="109" customWidth="1"/>
    <col min="8463" max="8463" width="2.7265625" style="109" customWidth="1"/>
    <col min="8464" max="8464" width="7.453125" style="109" customWidth="1"/>
    <col min="8465" max="8465" width="8.453125" style="109" bestFit="1" customWidth="1"/>
    <col min="8466" max="8466" width="3.54296875" style="109" customWidth="1"/>
    <col min="8467" max="8467" width="9" style="109" customWidth="1"/>
    <col min="8468" max="8704" width="8.7265625" style="109"/>
    <col min="8705" max="8705" width="25" style="109" customWidth="1"/>
    <col min="8706" max="8706" width="7.7265625" style="109" customWidth="1"/>
    <col min="8707" max="8707" width="1.7265625" style="109" customWidth="1"/>
    <col min="8708" max="8708" width="8.453125" style="109" customWidth="1"/>
    <col min="8709" max="8709" width="6" style="109" bestFit="1" customWidth="1"/>
    <col min="8710" max="8710" width="2" style="109" customWidth="1"/>
    <col min="8711" max="8711" width="7.7265625" style="109" customWidth="1"/>
    <col min="8712" max="8712" width="7" style="109" customWidth="1"/>
    <col min="8713" max="8713" width="2.26953125" style="109" customWidth="1"/>
    <col min="8714" max="8714" width="8" style="109" customWidth="1"/>
    <col min="8715" max="8715" width="6" style="109" bestFit="1" customWidth="1"/>
    <col min="8716" max="8716" width="2.453125" style="109" customWidth="1"/>
    <col min="8717" max="8717" width="7.453125" style="109" customWidth="1"/>
    <col min="8718" max="8718" width="6.7265625" style="109" customWidth="1"/>
    <col min="8719" max="8719" width="2.7265625" style="109" customWidth="1"/>
    <col min="8720" max="8720" width="7.453125" style="109" customWidth="1"/>
    <col min="8721" max="8721" width="8.453125" style="109" bestFit="1" customWidth="1"/>
    <col min="8722" max="8722" width="3.54296875" style="109" customWidth="1"/>
    <col min="8723" max="8723" width="9" style="109" customWidth="1"/>
    <col min="8724" max="8960" width="8.7265625" style="109"/>
    <col min="8961" max="8961" width="25" style="109" customWidth="1"/>
    <col min="8962" max="8962" width="7.7265625" style="109" customWidth="1"/>
    <col min="8963" max="8963" width="1.7265625" style="109" customWidth="1"/>
    <col min="8964" max="8964" width="8.453125" style="109" customWidth="1"/>
    <col min="8965" max="8965" width="6" style="109" bestFit="1" customWidth="1"/>
    <col min="8966" max="8966" width="2" style="109" customWidth="1"/>
    <col min="8967" max="8967" width="7.7265625" style="109" customWidth="1"/>
    <col min="8968" max="8968" width="7" style="109" customWidth="1"/>
    <col min="8969" max="8969" width="2.26953125" style="109" customWidth="1"/>
    <col min="8970" max="8970" width="8" style="109" customWidth="1"/>
    <col min="8971" max="8971" width="6" style="109" bestFit="1" customWidth="1"/>
    <col min="8972" max="8972" width="2.453125" style="109" customWidth="1"/>
    <col min="8973" max="8973" width="7.453125" style="109" customWidth="1"/>
    <col min="8974" max="8974" width="6.7265625" style="109" customWidth="1"/>
    <col min="8975" max="8975" width="2.7265625" style="109" customWidth="1"/>
    <col min="8976" max="8976" width="7.453125" style="109" customWidth="1"/>
    <col min="8977" max="8977" width="8.453125" style="109" bestFit="1" customWidth="1"/>
    <col min="8978" max="8978" width="3.54296875" style="109" customWidth="1"/>
    <col min="8979" max="8979" width="9" style="109" customWidth="1"/>
    <col min="8980" max="9216" width="8.7265625" style="109"/>
    <col min="9217" max="9217" width="25" style="109" customWidth="1"/>
    <col min="9218" max="9218" width="7.7265625" style="109" customWidth="1"/>
    <col min="9219" max="9219" width="1.7265625" style="109" customWidth="1"/>
    <col min="9220" max="9220" width="8.453125" style="109" customWidth="1"/>
    <col min="9221" max="9221" width="6" style="109" bestFit="1" customWidth="1"/>
    <col min="9222" max="9222" width="2" style="109" customWidth="1"/>
    <col min="9223" max="9223" width="7.7265625" style="109" customWidth="1"/>
    <col min="9224" max="9224" width="7" style="109" customWidth="1"/>
    <col min="9225" max="9225" width="2.26953125" style="109" customWidth="1"/>
    <col min="9226" max="9226" width="8" style="109" customWidth="1"/>
    <col min="9227" max="9227" width="6" style="109" bestFit="1" customWidth="1"/>
    <col min="9228" max="9228" width="2.453125" style="109" customWidth="1"/>
    <col min="9229" max="9229" width="7.453125" style="109" customWidth="1"/>
    <col min="9230" max="9230" width="6.7265625" style="109" customWidth="1"/>
    <col min="9231" max="9231" width="2.7265625" style="109" customWidth="1"/>
    <col min="9232" max="9232" width="7.453125" style="109" customWidth="1"/>
    <col min="9233" max="9233" width="8.453125" style="109" bestFit="1" customWidth="1"/>
    <col min="9234" max="9234" width="3.54296875" style="109" customWidth="1"/>
    <col min="9235" max="9235" width="9" style="109" customWidth="1"/>
    <col min="9236" max="9472" width="8.7265625" style="109"/>
    <col min="9473" max="9473" width="25" style="109" customWidth="1"/>
    <col min="9474" max="9474" width="7.7265625" style="109" customWidth="1"/>
    <col min="9475" max="9475" width="1.7265625" style="109" customWidth="1"/>
    <col min="9476" max="9476" width="8.453125" style="109" customWidth="1"/>
    <col min="9477" max="9477" width="6" style="109" bestFit="1" customWidth="1"/>
    <col min="9478" max="9478" width="2" style="109" customWidth="1"/>
    <col min="9479" max="9479" width="7.7265625" style="109" customWidth="1"/>
    <col min="9480" max="9480" width="7" style="109" customWidth="1"/>
    <col min="9481" max="9481" width="2.26953125" style="109" customWidth="1"/>
    <col min="9482" max="9482" width="8" style="109" customWidth="1"/>
    <col min="9483" max="9483" width="6" style="109" bestFit="1" customWidth="1"/>
    <col min="9484" max="9484" width="2.453125" style="109" customWidth="1"/>
    <col min="9485" max="9485" width="7.453125" style="109" customWidth="1"/>
    <col min="9486" max="9486" width="6.7265625" style="109" customWidth="1"/>
    <col min="9487" max="9487" width="2.7265625" style="109" customWidth="1"/>
    <col min="9488" max="9488" width="7.453125" style="109" customWidth="1"/>
    <col min="9489" max="9489" width="8.453125" style="109" bestFit="1" customWidth="1"/>
    <col min="9490" max="9490" width="3.54296875" style="109" customWidth="1"/>
    <col min="9491" max="9491" width="9" style="109" customWidth="1"/>
    <col min="9492" max="9728" width="8.7265625" style="109"/>
    <col min="9729" max="9729" width="25" style="109" customWidth="1"/>
    <col min="9730" max="9730" width="7.7265625" style="109" customWidth="1"/>
    <col min="9731" max="9731" width="1.7265625" style="109" customWidth="1"/>
    <col min="9732" max="9732" width="8.453125" style="109" customWidth="1"/>
    <col min="9733" max="9733" width="6" style="109" bestFit="1" customWidth="1"/>
    <col min="9734" max="9734" width="2" style="109" customWidth="1"/>
    <col min="9735" max="9735" width="7.7265625" style="109" customWidth="1"/>
    <col min="9736" max="9736" width="7" style="109" customWidth="1"/>
    <col min="9737" max="9737" width="2.26953125" style="109" customWidth="1"/>
    <col min="9738" max="9738" width="8" style="109" customWidth="1"/>
    <col min="9739" max="9739" width="6" style="109" bestFit="1" customWidth="1"/>
    <col min="9740" max="9740" width="2.453125" style="109" customWidth="1"/>
    <col min="9741" max="9741" width="7.453125" style="109" customWidth="1"/>
    <col min="9742" max="9742" width="6.7265625" style="109" customWidth="1"/>
    <col min="9743" max="9743" width="2.7265625" style="109" customWidth="1"/>
    <col min="9744" max="9744" width="7.453125" style="109" customWidth="1"/>
    <col min="9745" max="9745" width="8.453125" style="109" bestFit="1" customWidth="1"/>
    <col min="9746" max="9746" width="3.54296875" style="109" customWidth="1"/>
    <col min="9747" max="9747" width="9" style="109" customWidth="1"/>
    <col min="9748" max="9984" width="8.7265625" style="109"/>
    <col min="9985" max="9985" width="25" style="109" customWidth="1"/>
    <col min="9986" max="9986" width="7.7265625" style="109" customWidth="1"/>
    <col min="9987" max="9987" width="1.7265625" style="109" customWidth="1"/>
    <col min="9988" max="9988" width="8.453125" style="109" customWidth="1"/>
    <col min="9989" max="9989" width="6" style="109" bestFit="1" customWidth="1"/>
    <col min="9990" max="9990" width="2" style="109" customWidth="1"/>
    <col min="9991" max="9991" width="7.7265625" style="109" customWidth="1"/>
    <col min="9992" max="9992" width="7" style="109" customWidth="1"/>
    <col min="9993" max="9993" width="2.26953125" style="109" customWidth="1"/>
    <col min="9994" max="9994" width="8" style="109" customWidth="1"/>
    <col min="9995" max="9995" width="6" style="109" bestFit="1" customWidth="1"/>
    <col min="9996" max="9996" width="2.453125" style="109" customWidth="1"/>
    <col min="9997" max="9997" width="7.453125" style="109" customWidth="1"/>
    <col min="9998" max="9998" width="6.7265625" style="109" customWidth="1"/>
    <col min="9999" max="9999" width="2.7265625" style="109" customWidth="1"/>
    <col min="10000" max="10000" width="7.453125" style="109" customWidth="1"/>
    <col min="10001" max="10001" width="8.453125" style="109" bestFit="1" customWidth="1"/>
    <col min="10002" max="10002" width="3.54296875" style="109" customWidth="1"/>
    <col min="10003" max="10003" width="9" style="109" customWidth="1"/>
    <col min="10004" max="10240" width="8.7265625" style="109"/>
    <col min="10241" max="10241" width="25" style="109" customWidth="1"/>
    <col min="10242" max="10242" width="7.7265625" style="109" customWidth="1"/>
    <col min="10243" max="10243" width="1.7265625" style="109" customWidth="1"/>
    <col min="10244" max="10244" width="8.453125" style="109" customWidth="1"/>
    <col min="10245" max="10245" width="6" style="109" bestFit="1" customWidth="1"/>
    <col min="10246" max="10246" width="2" style="109" customWidth="1"/>
    <col min="10247" max="10247" width="7.7265625" style="109" customWidth="1"/>
    <col min="10248" max="10248" width="7" style="109" customWidth="1"/>
    <col min="10249" max="10249" width="2.26953125" style="109" customWidth="1"/>
    <col min="10250" max="10250" width="8" style="109" customWidth="1"/>
    <col min="10251" max="10251" width="6" style="109" bestFit="1" customWidth="1"/>
    <col min="10252" max="10252" width="2.453125" style="109" customWidth="1"/>
    <col min="10253" max="10253" width="7.453125" style="109" customWidth="1"/>
    <col min="10254" max="10254" width="6.7265625" style="109" customWidth="1"/>
    <col min="10255" max="10255" width="2.7265625" style="109" customWidth="1"/>
    <col min="10256" max="10256" width="7.453125" style="109" customWidth="1"/>
    <col min="10257" max="10257" width="8.453125" style="109" bestFit="1" customWidth="1"/>
    <col min="10258" max="10258" width="3.54296875" style="109" customWidth="1"/>
    <col min="10259" max="10259" width="9" style="109" customWidth="1"/>
    <col min="10260" max="10496" width="8.7265625" style="109"/>
    <col min="10497" max="10497" width="25" style="109" customWidth="1"/>
    <col min="10498" max="10498" width="7.7265625" style="109" customWidth="1"/>
    <col min="10499" max="10499" width="1.7265625" style="109" customWidth="1"/>
    <col min="10500" max="10500" width="8.453125" style="109" customWidth="1"/>
    <col min="10501" max="10501" width="6" style="109" bestFit="1" customWidth="1"/>
    <col min="10502" max="10502" width="2" style="109" customWidth="1"/>
    <col min="10503" max="10503" width="7.7265625" style="109" customWidth="1"/>
    <col min="10504" max="10504" width="7" style="109" customWidth="1"/>
    <col min="10505" max="10505" width="2.26953125" style="109" customWidth="1"/>
    <col min="10506" max="10506" width="8" style="109" customWidth="1"/>
    <col min="10507" max="10507" width="6" style="109" bestFit="1" customWidth="1"/>
    <col min="10508" max="10508" width="2.453125" style="109" customWidth="1"/>
    <col min="10509" max="10509" width="7.453125" style="109" customWidth="1"/>
    <col min="10510" max="10510" width="6.7265625" style="109" customWidth="1"/>
    <col min="10511" max="10511" width="2.7265625" style="109" customWidth="1"/>
    <col min="10512" max="10512" width="7.453125" style="109" customWidth="1"/>
    <col min="10513" max="10513" width="8.453125" style="109" bestFit="1" customWidth="1"/>
    <col min="10514" max="10514" width="3.54296875" style="109" customWidth="1"/>
    <col min="10515" max="10515" width="9" style="109" customWidth="1"/>
    <col min="10516" max="10752" width="8.7265625" style="109"/>
    <col min="10753" max="10753" width="25" style="109" customWidth="1"/>
    <col min="10754" max="10754" width="7.7265625" style="109" customWidth="1"/>
    <col min="10755" max="10755" width="1.7265625" style="109" customWidth="1"/>
    <col min="10756" max="10756" width="8.453125" style="109" customWidth="1"/>
    <col min="10757" max="10757" width="6" style="109" bestFit="1" customWidth="1"/>
    <col min="10758" max="10758" width="2" style="109" customWidth="1"/>
    <col min="10759" max="10759" width="7.7265625" style="109" customWidth="1"/>
    <col min="10760" max="10760" width="7" style="109" customWidth="1"/>
    <col min="10761" max="10761" width="2.26953125" style="109" customWidth="1"/>
    <col min="10762" max="10762" width="8" style="109" customWidth="1"/>
    <col min="10763" max="10763" width="6" style="109" bestFit="1" customWidth="1"/>
    <col min="10764" max="10764" width="2.453125" style="109" customWidth="1"/>
    <col min="10765" max="10765" width="7.453125" style="109" customWidth="1"/>
    <col min="10766" max="10766" width="6.7265625" style="109" customWidth="1"/>
    <col min="10767" max="10767" width="2.7265625" style="109" customWidth="1"/>
    <col min="10768" max="10768" width="7.453125" style="109" customWidth="1"/>
    <col min="10769" max="10769" width="8.453125" style="109" bestFit="1" customWidth="1"/>
    <col min="10770" max="10770" width="3.54296875" style="109" customWidth="1"/>
    <col min="10771" max="10771" width="9" style="109" customWidth="1"/>
    <col min="10772" max="11008" width="8.7265625" style="109"/>
    <col min="11009" max="11009" width="25" style="109" customWidth="1"/>
    <col min="11010" max="11010" width="7.7265625" style="109" customWidth="1"/>
    <col min="11011" max="11011" width="1.7265625" style="109" customWidth="1"/>
    <col min="11012" max="11012" width="8.453125" style="109" customWidth="1"/>
    <col min="11013" max="11013" width="6" style="109" bestFit="1" customWidth="1"/>
    <col min="11014" max="11014" width="2" style="109" customWidth="1"/>
    <col min="11015" max="11015" width="7.7265625" style="109" customWidth="1"/>
    <col min="11016" max="11016" width="7" style="109" customWidth="1"/>
    <col min="11017" max="11017" width="2.26953125" style="109" customWidth="1"/>
    <col min="11018" max="11018" width="8" style="109" customWidth="1"/>
    <col min="11019" max="11019" width="6" style="109" bestFit="1" customWidth="1"/>
    <col min="11020" max="11020" width="2.453125" style="109" customWidth="1"/>
    <col min="11021" max="11021" width="7.453125" style="109" customWidth="1"/>
    <col min="11022" max="11022" width="6.7265625" style="109" customWidth="1"/>
    <col min="11023" max="11023" width="2.7265625" style="109" customWidth="1"/>
    <col min="11024" max="11024" width="7.453125" style="109" customWidth="1"/>
    <col min="11025" max="11025" width="8.453125" style="109" bestFit="1" customWidth="1"/>
    <col min="11026" max="11026" width="3.54296875" style="109" customWidth="1"/>
    <col min="11027" max="11027" width="9" style="109" customWidth="1"/>
    <col min="11028" max="11264" width="8.7265625" style="109"/>
    <col min="11265" max="11265" width="25" style="109" customWidth="1"/>
    <col min="11266" max="11266" width="7.7265625" style="109" customWidth="1"/>
    <col min="11267" max="11267" width="1.7265625" style="109" customWidth="1"/>
    <col min="11268" max="11268" width="8.453125" style="109" customWidth="1"/>
    <col min="11269" max="11269" width="6" style="109" bestFit="1" customWidth="1"/>
    <col min="11270" max="11270" width="2" style="109" customWidth="1"/>
    <col min="11271" max="11271" width="7.7265625" style="109" customWidth="1"/>
    <col min="11272" max="11272" width="7" style="109" customWidth="1"/>
    <col min="11273" max="11273" width="2.26953125" style="109" customWidth="1"/>
    <col min="11274" max="11274" width="8" style="109" customWidth="1"/>
    <col min="11275" max="11275" width="6" style="109" bestFit="1" customWidth="1"/>
    <col min="11276" max="11276" width="2.453125" style="109" customWidth="1"/>
    <col min="11277" max="11277" width="7.453125" style="109" customWidth="1"/>
    <col min="11278" max="11278" width="6.7265625" style="109" customWidth="1"/>
    <col min="11279" max="11279" width="2.7265625" style="109" customWidth="1"/>
    <col min="11280" max="11280" width="7.453125" style="109" customWidth="1"/>
    <col min="11281" max="11281" width="8.453125" style="109" bestFit="1" customWidth="1"/>
    <col min="11282" max="11282" width="3.54296875" style="109" customWidth="1"/>
    <col min="11283" max="11283" width="9" style="109" customWidth="1"/>
    <col min="11284" max="11520" width="8.7265625" style="109"/>
    <col min="11521" max="11521" width="25" style="109" customWidth="1"/>
    <col min="11522" max="11522" width="7.7265625" style="109" customWidth="1"/>
    <col min="11523" max="11523" width="1.7265625" style="109" customWidth="1"/>
    <col min="11524" max="11524" width="8.453125" style="109" customWidth="1"/>
    <col min="11525" max="11525" width="6" style="109" bestFit="1" customWidth="1"/>
    <col min="11526" max="11526" width="2" style="109" customWidth="1"/>
    <col min="11527" max="11527" width="7.7265625" style="109" customWidth="1"/>
    <col min="11528" max="11528" width="7" style="109" customWidth="1"/>
    <col min="11529" max="11529" width="2.26953125" style="109" customWidth="1"/>
    <col min="11530" max="11530" width="8" style="109" customWidth="1"/>
    <col min="11531" max="11531" width="6" style="109" bestFit="1" customWidth="1"/>
    <col min="11532" max="11532" width="2.453125" style="109" customWidth="1"/>
    <col min="11533" max="11533" width="7.453125" style="109" customWidth="1"/>
    <col min="11534" max="11534" width="6.7265625" style="109" customWidth="1"/>
    <col min="11535" max="11535" width="2.7265625" style="109" customWidth="1"/>
    <col min="11536" max="11536" width="7.453125" style="109" customWidth="1"/>
    <col min="11537" max="11537" width="8.453125" style="109" bestFit="1" customWidth="1"/>
    <col min="11538" max="11538" width="3.54296875" style="109" customWidth="1"/>
    <col min="11539" max="11539" width="9" style="109" customWidth="1"/>
    <col min="11540" max="11776" width="8.7265625" style="109"/>
    <col min="11777" max="11777" width="25" style="109" customWidth="1"/>
    <col min="11778" max="11778" width="7.7265625" style="109" customWidth="1"/>
    <col min="11779" max="11779" width="1.7265625" style="109" customWidth="1"/>
    <col min="11780" max="11780" width="8.453125" style="109" customWidth="1"/>
    <col min="11781" max="11781" width="6" style="109" bestFit="1" customWidth="1"/>
    <col min="11782" max="11782" width="2" style="109" customWidth="1"/>
    <col min="11783" max="11783" width="7.7265625" style="109" customWidth="1"/>
    <col min="11784" max="11784" width="7" style="109" customWidth="1"/>
    <col min="11785" max="11785" width="2.26953125" style="109" customWidth="1"/>
    <col min="11786" max="11786" width="8" style="109" customWidth="1"/>
    <col min="11787" max="11787" width="6" style="109" bestFit="1" customWidth="1"/>
    <col min="11788" max="11788" width="2.453125" style="109" customWidth="1"/>
    <col min="11789" max="11789" width="7.453125" style="109" customWidth="1"/>
    <col min="11790" max="11790" width="6.7265625" style="109" customWidth="1"/>
    <col min="11791" max="11791" width="2.7265625" style="109" customWidth="1"/>
    <col min="11792" max="11792" width="7.453125" style="109" customWidth="1"/>
    <col min="11793" max="11793" width="8.453125" style="109" bestFit="1" customWidth="1"/>
    <col min="11794" max="11794" width="3.54296875" style="109" customWidth="1"/>
    <col min="11795" max="11795" width="9" style="109" customWidth="1"/>
    <col min="11796" max="12032" width="8.7265625" style="109"/>
    <col min="12033" max="12033" width="25" style="109" customWidth="1"/>
    <col min="12034" max="12034" width="7.7265625" style="109" customWidth="1"/>
    <col min="12035" max="12035" width="1.7265625" style="109" customWidth="1"/>
    <col min="12036" max="12036" width="8.453125" style="109" customWidth="1"/>
    <col min="12037" max="12037" width="6" style="109" bestFit="1" customWidth="1"/>
    <col min="12038" max="12038" width="2" style="109" customWidth="1"/>
    <col min="12039" max="12039" width="7.7265625" style="109" customWidth="1"/>
    <col min="12040" max="12040" width="7" style="109" customWidth="1"/>
    <col min="12041" max="12041" width="2.26953125" style="109" customWidth="1"/>
    <col min="12042" max="12042" width="8" style="109" customWidth="1"/>
    <col min="12043" max="12043" width="6" style="109" bestFit="1" customWidth="1"/>
    <col min="12044" max="12044" width="2.453125" style="109" customWidth="1"/>
    <col min="12045" max="12045" width="7.453125" style="109" customWidth="1"/>
    <col min="12046" max="12046" width="6.7265625" style="109" customWidth="1"/>
    <col min="12047" max="12047" width="2.7265625" style="109" customWidth="1"/>
    <col min="12048" max="12048" width="7.453125" style="109" customWidth="1"/>
    <col min="12049" max="12049" width="8.453125" style="109" bestFit="1" customWidth="1"/>
    <col min="12050" max="12050" width="3.54296875" style="109" customWidth="1"/>
    <col min="12051" max="12051" width="9" style="109" customWidth="1"/>
    <col min="12052" max="12288" width="8.7265625" style="109"/>
    <col min="12289" max="12289" width="25" style="109" customWidth="1"/>
    <col min="12290" max="12290" width="7.7265625" style="109" customWidth="1"/>
    <col min="12291" max="12291" width="1.7265625" style="109" customWidth="1"/>
    <col min="12292" max="12292" width="8.453125" style="109" customWidth="1"/>
    <col min="12293" max="12293" width="6" style="109" bestFit="1" customWidth="1"/>
    <col min="12294" max="12294" width="2" style="109" customWidth="1"/>
    <col min="12295" max="12295" width="7.7265625" style="109" customWidth="1"/>
    <col min="12296" max="12296" width="7" style="109" customWidth="1"/>
    <col min="12297" max="12297" width="2.26953125" style="109" customWidth="1"/>
    <col min="12298" max="12298" width="8" style="109" customWidth="1"/>
    <col min="12299" max="12299" width="6" style="109" bestFit="1" customWidth="1"/>
    <col min="12300" max="12300" width="2.453125" style="109" customWidth="1"/>
    <col min="12301" max="12301" width="7.453125" style="109" customWidth="1"/>
    <col min="12302" max="12302" width="6.7265625" style="109" customWidth="1"/>
    <col min="12303" max="12303" width="2.7265625" style="109" customWidth="1"/>
    <col min="12304" max="12304" width="7.453125" style="109" customWidth="1"/>
    <col min="12305" max="12305" width="8.453125" style="109" bestFit="1" customWidth="1"/>
    <col min="12306" max="12306" width="3.54296875" style="109" customWidth="1"/>
    <col min="12307" max="12307" width="9" style="109" customWidth="1"/>
    <col min="12308" max="12544" width="8.7265625" style="109"/>
    <col min="12545" max="12545" width="25" style="109" customWidth="1"/>
    <col min="12546" max="12546" width="7.7265625" style="109" customWidth="1"/>
    <col min="12547" max="12547" width="1.7265625" style="109" customWidth="1"/>
    <col min="12548" max="12548" width="8.453125" style="109" customWidth="1"/>
    <col min="12549" max="12549" width="6" style="109" bestFit="1" customWidth="1"/>
    <col min="12550" max="12550" width="2" style="109" customWidth="1"/>
    <col min="12551" max="12551" width="7.7265625" style="109" customWidth="1"/>
    <col min="12552" max="12552" width="7" style="109" customWidth="1"/>
    <col min="12553" max="12553" width="2.26953125" style="109" customWidth="1"/>
    <col min="12554" max="12554" width="8" style="109" customWidth="1"/>
    <col min="12555" max="12555" width="6" style="109" bestFit="1" customWidth="1"/>
    <col min="12556" max="12556" width="2.453125" style="109" customWidth="1"/>
    <col min="12557" max="12557" width="7.453125" style="109" customWidth="1"/>
    <col min="12558" max="12558" width="6.7265625" style="109" customWidth="1"/>
    <col min="12559" max="12559" width="2.7265625" style="109" customWidth="1"/>
    <col min="12560" max="12560" width="7.453125" style="109" customWidth="1"/>
    <col min="12561" max="12561" width="8.453125" style="109" bestFit="1" customWidth="1"/>
    <col min="12562" max="12562" width="3.54296875" style="109" customWidth="1"/>
    <col min="12563" max="12563" width="9" style="109" customWidth="1"/>
    <col min="12564" max="12800" width="8.7265625" style="109"/>
    <col min="12801" max="12801" width="25" style="109" customWidth="1"/>
    <col min="12802" max="12802" width="7.7265625" style="109" customWidth="1"/>
    <col min="12803" max="12803" width="1.7265625" style="109" customWidth="1"/>
    <col min="12804" max="12804" width="8.453125" style="109" customWidth="1"/>
    <col min="12805" max="12805" width="6" style="109" bestFit="1" customWidth="1"/>
    <col min="12806" max="12806" width="2" style="109" customWidth="1"/>
    <col min="12807" max="12807" width="7.7265625" style="109" customWidth="1"/>
    <col min="12808" max="12808" width="7" style="109" customWidth="1"/>
    <col min="12809" max="12809" width="2.26953125" style="109" customWidth="1"/>
    <col min="12810" max="12810" width="8" style="109" customWidth="1"/>
    <col min="12811" max="12811" width="6" style="109" bestFit="1" customWidth="1"/>
    <col min="12812" max="12812" width="2.453125" style="109" customWidth="1"/>
    <col min="12813" max="12813" width="7.453125" style="109" customWidth="1"/>
    <col min="12814" max="12814" width="6.7265625" style="109" customWidth="1"/>
    <col min="12815" max="12815" width="2.7265625" style="109" customWidth="1"/>
    <col min="12816" max="12816" width="7.453125" style="109" customWidth="1"/>
    <col min="12817" max="12817" width="8.453125" style="109" bestFit="1" customWidth="1"/>
    <col min="12818" max="12818" width="3.54296875" style="109" customWidth="1"/>
    <col min="12819" max="12819" width="9" style="109" customWidth="1"/>
    <col min="12820" max="13056" width="8.7265625" style="109"/>
    <col min="13057" max="13057" width="25" style="109" customWidth="1"/>
    <col min="13058" max="13058" width="7.7265625" style="109" customWidth="1"/>
    <col min="13059" max="13059" width="1.7265625" style="109" customWidth="1"/>
    <col min="13060" max="13060" width="8.453125" style="109" customWidth="1"/>
    <col min="13061" max="13061" width="6" style="109" bestFit="1" customWidth="1"/>
    <col min="13062" max="13062" width="2" style="109" customWidth="1"/>
    <col min="13063" max="13063" width="7.7265625" style="109" customWidth="1"/>
    <col min="13064" max="13064" width="7" style="109" customWidth="1"/>
    <col min="13065" max="13065" width="2.26953125" style="109" customWidth="1"/>
    <col min="13066" max="13066" width="8" style="109" customWidth="1"/>
    <col min="13067" max="13067" width="6" style="109" bestFit="1" customWidth="1"/>
    <col min="13068" max="13068" width="2.453125" style="109" customWidth="1"/>
    <col min="13069" max="13069" width="7.453125" style="109" customWidth="1"/>
    <col min="13070" max="13070" width="6.7265625" style="109" customWidth="1"/>
    <col min="13071" max="13071" width="2.7265625" style="109" customWidth="1"/>
    <col min="13072" max="13072" width="7.453125" style="109" customWidth="1"/>
    <col min="13073" max="13073" width="8.453125" style="109" bestFit="1" customWidth="1"/>
    <col min="13074" max="13074" width="3.54296875" style="109" customWidth="1"/>
    <col min="13075" max="13075" width="9" style="109" customWidth="1"/>
    <col min="13076" max="13312" width="8.7265625" style="109"/>
    <col min="13313" max="13313" width="25" style="109" customWidth="1"/>
    <col min="13314" max="13314" width="7.7265625" style="109" customWidth="1"/>
    <col min="13315" max="13315" width="1.7265625" style="109" customWidth="1"/>
    <col min="13316" max="13316" width="8.453125" style="109" customWidth="1"/>
    <col min="13317" max="13317" width="6" style="109" bestFit="1" customWidth="1"/>
    <col min="13318" max="13318" width="2" style="109" customWidth="1"/>
    <col min="13319" max="13319" width="7.7265625" style="109" customWidth="1"/>
    <col min="13320" max="13320" width="7" style="109" customWidth="1"/>
    <col min="13321" max="13321" width="2.26953125" style="109" customWidth="1"/>
    <col min="13322" max="13322" width="8" style="109" customWidth="1"/>
    <col min="13323" max="13323" width="6" style="109" bestFit="1" customWidth="1"/>
    <col min="13324" max="13324" width="2.453125" style="109" customWidth="1"/>
    <col min="13325" max="13325" width="7.453125" style="109" customWidth="1"/>
    <col min="13326" max="13326" width="6.7265625" style="109" customWidth="1"/>
    <col min="13327" max="13327" width="2.7265625" style="109" customWidth="1"/>
    <col min="13328" max="13328" width="7.453125" style="109" customWidth="1"/>
    <col min="13329" max="13329" width="8.453125" style="109" bestFit="1" customWidth="1"/>
    <col min="13330" max="13330" width="3.54296875" style="109" customWidth="1"/>
    <col min="13331" max="13331" width="9" style="109" customWidth="1"/>
    <col min="13332" max="13568" width="8.7265625" style="109"/>
    <col min="13569" max="13569" width="25" style="109" customWidth="1"/>
    <col min="13570" max="13570" width="7.7265625" style="109" customWidth="1"/>
    <col min="13571" max="13571" width="1.7265625" style="109" customWidth="1"/>
    <col min="13572" max="13572" width="8.453125" style="109" customWidth="1"/>
    <col min="13573" max="13573" width="6" style="109" bestFit="1" customWidth="1"/>
    <col min="13574" max="13574" width="2" style="109" customWidth="1"/>
    <col min="13575" max="13575" width="7.7265625" style="109" customWidth="1"/>
    <col min="13576" max="13576" width="7" style="109" customWidth="1"/>
    <col min="13577" max="13577" width="2.26953125" style="109" customWidth="1"/>
    <col min="13578" max="13578" width="8" style="109" customWidth="1"/>
    <col min="13579" max="13579" width="6" style="109" bestFit="1" customWidth="1"/>
    <col min="13580" max="13580" width="2.453125" style="109" customWidth="1"/>
    <col min="13581" max="13581" width="7.453125" style="109" customWidth="1"/>
    <col min="13582" max="13582" width="6.7265625" style="109" customWidth="1"/>
    <col min="13583" max="13583" width="2.7265625" style="109" customWidth="1"/>
    <col min="13584" max="13584" width="7.453125" style="109" customWidth="1"/>
    <col min="13585" max="13585" width="8.453125" style="109" bestFit="1" customWidth="1"/>
    <col min="13586" max="13586" width="3.54296875" style="109" customWidth="1"/>
    <col min="13587" max="13587" width="9" style="109" customWidth="1"/>
    <col min="13588" max="13824" width="8.7265625" style="109"/>
    <col min="13825" max="13825" width="25" style="109" customWidth="1"/>
    <col min="13826" max="13826" width="7.7265625" style="109" customWidth="1"/>
    <col min="13827" max="13827" width="1.7265625" style="109" customWidth="1"/>
    <col min="13828" max="13828" width="8.453125" style="109" customWidth="1"/>
    <col min="13829" max="13829" width="6" style="109" bestFit="1" customWidth="1"/>
    <col min="13830" max="13830" width="2" style="109" customWidth="1"/>
    <col min="13831" max="13831" width="7.7265625" style="109" customWidth="1"/>
    <col min="13832" max="13832" width="7" style="109" customWidth="1"/>
    <col min="13833" max="13833" width="2.26953125" style="109" customWidth="1"/>
    <col min="13834" max="13834" width="8" style="109" customWidth="1"/>
    <col min="13835" max="13835" width="6" style="109" bestFit="1" customWidth="1"/>
    <col min="13836" max="13836" width="2.453125" style="109" customWidth="1"/>
    <col min="13837" max="13837" width="7.453125" style="109" customWidth="1"/>
    <col min="13838" max="13838" width="6.7265625" style="109" customWidth="1"/>
    <col min="13839" max="13839" width="2.7265625" style="109" customWidth="1"/>
    <col min="13840" max="13840" width="7.453125" style="109" customWidth="1"/>
    <col min="13841" max="13841" width="8.453125" style="109" bestFit="1" customWidth="1"/>
    <col min="13842" max="13842" width="3.54296875" style="109" customWidth="1"/>
    <col min="13843" max="13843" width="9" style="109" customWidth="1"/>
    <col min="13844" max="14080" width="8.7265625" style="109"/>
    <col min="14081" max="14081" width="25" style="109" customWidth="1"/>
    <col min="14082" max="14082" width="7.7265625" style="109" customWidth="1"/>
    <col min="14083" max="14083" width="1.7265625" style="109" customWidth="1"/>
    <col min="14084" max="14084" width="8.453125" style="109" customWidth="1"/>
    <col min="14085" max="14085" width="6" style="109" bestFit="1" customWidth="1"/>
    <col min="14086" max="14086" width="2" style="109" customWidth="1"/>
    <col min="14087" max="14087" width="7.7265625" style="109" customWidth="1"/>
    <col min="14088" max="14088" width="7" style="109" customWidth="1"/>
    <col min="14089" max="14089" width="2.26953125" style="109" customWidth="1"/>
    <col min="14090" max="14090" width="8" style="109" customWidth="1"/>
    <col min="14091" max="14091" width="6" style="109" bestFit="1" customWidth="1"/>
    <col min="14092" max="14092" width="2.453125" style="109" customWidth="1"/>
    <col min="14093" max="14093" width="7.453125" style="109" customWidth="1"/>
    <col min="14094" max="14094" width="6.7265625" style="109" customWidth="1"/>
    <col min="14095" max="14095" width="2.7265625" style="109" customWidth="1"/>
    <col min="14096" max="14096" width="7.453125" style="109" customWidth="1"/>
    <col min="14097" max="14097" width="8.453125" style="109" bestFit="1" customWidth="1"/>
    <col min="14098" max="14098" width="3.54296875" style="109" customWidth="1"/>
    <col min="14099" max="14099" width="9" style="109" customWidth="1"/>
    <col min="14100" max="14336" width="8.7265625" style="109"/>
    <col min="14337" max="14337" width="25" style="109" customWidth="1"/>
    <col min="14338" max="14338" width="7.7265625" style="109" customWidth="1"/>
    <col min="14339" max="14339" width="1.7265625" style="109" customWidth="1"/>
    <col min="14340" max="14340" width="8.453125" style="109" customWidth="1"/>
    <col min="14341" max="14341" width="6" style="109" bestFit="1" customWidth="1"/>
    <col min="14342" max="14342" width="2" style="109" customWidth="1"/>
    <col min="14343" max="14343" width="7.7265625" style="109" customWidth="1"/>
    <col min="14344" max="14344" width="7" style="109" customWidth="1"/>
    <col min="14345" max="14345" width="2.26953125" style="109" customWidth="1"/>
    <col min="14346" max="14346" width="8" style="109" customWidth="1"/>
    <col min="14347" max="14347" width="6" style="109" bestFit="1" customWidth="1"/>
    <col min="14348" max="14348" width="2.453125" style="109" customWidth="1"/>
    <col min="14349" max="14349" width="7.453125" style="109" customWidth="1"/>
    <col min="14350" max="14350" width="6.7265625" style="109" customWidth="1"/>
    <col min="14351" max="14351" width="2.7265625" style="109" customWidth="1"/>
    <col min="14352" max="14352" width="7.453125" style="109" customWidth="1"/>
    <col min="14353" max="14353" width="8.453125" style="109" bestFit="1" customWidth="1"/>
    <col min="14354" max="14354" width="3.54296875" style="109" customWidth="1"/>
    <col min="14355" max="14355" width="9" style="109" customWidth="1"/>
    <col min="14356" max="14592" width="8.7265625" style="109"/>
    <col min="14593" max="14593" width="25" style="109" customWidth="1"/>
    <col min="14594" max="14594" width="7.7265625" style="109" customWidth="1"/>
    <col min="14595" max="14595" width="1.7265625" style="109" customWidth="1"/>
    <col min="14596" max="14596" width="8.453125" style="109" customWidth="1"/>
    <col min="14597" max="14597" width="6" style="109" bestFit="1" customWidth="1"/>
    <col min="14598" max="14598" width="2" style="109" customWidth="1"/>
    <col min="14599" max="14599" width="7.7265625" style="109" customWidth="1"/>
    <col min="14600" max="14600" width="7" style="109" customWidth="1"/>
    <col min="14601" max="14601" width="2.26953125" style="109" customWidth="1"/>
    <col min="14602" max="14602" width="8" style="109" customWidth="1"/>
    <col min="14603" max="14603" width="6" style="109" bestFit="1" customWidth="1"/>
    <col min="14604" max="14604" width="2.453125" style="109" customWidth="1"/>
    <col min="14605" max="14605" width="7.453125" style="109" customWidth="1"/>
    <col min="14606" max="14606" width="6.7265625" style="109" customWidth="1"/>
    <col min="14607" max="14607" width="2.7265625" style="109" customWidth="1"/>
    <col min="14608" max="14608" width="7.453125" style="109" customWidth="1"/>
    <col min="14609" max="14609" width="8.453125" style="109" bestFit="1" customWidth="1"/>
    <col min="14610" max="14610" width="3.54296875" style="109" customWidth="1"/>
    <col min="14611" max="14611" width="9" style="109" customWidth="1"/>
    <col min="14612" max="14848" width="8.7265625" style="109"/>
    <col min="14849" max="14849" width="25" style="109" customWidth="1"/>
    <col min="14850" max="14850" width="7.7265625" style="109" customWidth="1"/>
    <col min="14851" max="14851" width="1.7265625" style="109" customWidth="1"/>
    <col min="14852" max="14852" width="8.453125" style="109" customWidth="1"/>
    <col min="14853" max="14853" width="6" style="109" bestFit="1" customWidth="1"/>
    <col min="14854" max="14854" width="2" style="109" customWidth="1"/>
    <col min="14855" max="14855" width="7.7265625" style="109" customWidth="1"/>
    <col min="14856" max="14856" width="7" style="109" customWidth="1"/>
    <col min="14857" max="14857" width="2.26953125" style="109" customWidth="1"/>
    <col min="14858" max="14858" width="8" style="109" customWidth="1"/>
    <col min="14859" max="14859" width="6" style="109" bestFit="1" customWidth="1"/>
    <col min="14860" max="14860" width="2.453125" style="109" customWidth="1"/>
    <col min="14861" max="14861" width="7.453125" style="109" customWidth="1"/>
    <col min="14862" max="14862" width="6.7265625" style="109" customWidth="1"/>
    <col min="14863" max="14863" width="2.7265625" style="109" customWidth="1"/>
    <col min="14864" max="14864" width="7.453125" style="109" customWidth="1"/>
    <col min="14865" max="14865" width="8.453125" style="109" bestFit="1" customWidth="1"/>
    <col min="14866" max="14866" width="3.54296875" style="109" customWidth="1"/>
    <col min="14867" max="14867" width="9" style="109" customWidth="1"/>
    <col min="14868" max="15104" width="8.7265625" style="109"/>
    <col min="15105" max="15105" width="25" style="109" customWidth="1"/>
    <col min="15106" max="15106" width="7.7265625" style="109" customWidth="1"/>
    <col min="15107" max="15107" width="1.7265625" style="109" customWidth="1"/>
    <col min="15108" max="15108" width="8.453125" style="109" customWidth="1"/>
    <col min="15109" max="15109" width="6" style="109" bestFit="1" customWidth="1"/>
    <col min="15110" max="15110" width="2" style="109" customWidth="1"/>
    <col min="15111" max="15111" width="7.7265625" style="109" customWidth="1"/>
    <col min="15112" max="15112" width="7" style="109" customWidth="1"/>
    <col min="15113" max="15113" width="2.26953125" style="109" customWidth="1"/>
    <col min="15114" max="15114" width="8" style="109" customWidth="1"/>
    <col min="15115" max="15115" width="6" style="109" bestFit="1" customWidth="1"/>
    <col min="15116" max="15116" width="2.453125" style="109" customWidth="1"/>
    <col min="15117" max="15117" width="7.453125" style="109" customWidth="1"/>
    <col min="15118" max="15118" width="6.7265625" style="109" customWidth="1"/>
    <col min="15119" max="15119" width="2.7265625" style="109" customWidth="1"/>
    <col min="15120" max="15120" width="7.453125" style="109" customWidth="1"/>
    <col min="15121" max="15121" width="8.453125" style="109" bestFit="1" customWidth="1"/>
    <col min="15122" max="15122" width="3.54296875" style="109" customWidth="1"/>
    <col min="15123" max="15123" width="9" style="109" customWidth="1"/>
    <col min="15124" max="15360" width="8.7265625" style="109"/>
    <col min="15361" max="15361" width="25" style="109" customWidth="1"/>
    <col min="15362" max="15362" width="7.7265625" style="109" customWidth="1"/>
    <col min="15363" max="15363" width="1.7265625" style="109" customWidth="1"/>
    <col min="15364" max="15364" width="8.453125" style="109" customWidth="1"/>
    <col min="15365" max="15365" width="6" style="109" bestFit="1" customWidth="1"/>
    <col min="15366" max="15366" width="2" style="109" customWidth="1"/>
    <col min="15367" max="15367" width="7.7265625" style="109" customWidth="1"/>
    <col min="15368" max="15368" width="7" style="109" customWidth="1"/>
    <col min="15369" max="15369" width="2.26953125" style="109" customWidth="1"/>
    <col min="15370" max="15370" width="8" style="109" customWidth="1"/>
    <col min="15371" max="15371" width="6" style="109" bestFit="1" customWidth="1"/>
    <col min="15372" max="15372" width="2.453125" style="109" customWidth="1"/>
    <col min="15373" max="15373" width="7.453125" style="109" customWidth="1"/>
    <col min="15374" max="15374" width="6.7265625" style="109" customWidth="1"/>
    <col min="15375" max="15375" width="2.7265625" style="109" customWidth="1"/>
    <col min="15376" max="15376" width="7.453125" style="109" customWidth="1"/>
    <col min="15377" max="15377" width="8.453125" style="109" bestFit="1" customWidth="1"/>
    <col min="15378" max="15378" width="3.54296875" style="109" customWidth="1"/>
    <col min="15379" max="15379" width="9" style="109" customWidth="1"/>
    <col min="15380" max="15616" width="8.7265625" style="109"/>
    <col min="15617" max="15617" width="25" style="109" customWidth="1"/>
    <col min="15618" max="15618" width="7.7265625" style="109" customWidth="1"/>
    <col min="15619" max="15619" width="1.7265625" style="109" customWidth="1"/>
    <col min="15620" max="15620" width="8.453125" style="109" customWidth="1"/>
    <col min="15621" max="15621" width="6" style="109" bestFit="1" customWidth="1"/>
    <col min="15622" max="15622" width="2" style="109" customWidth="1"/>
    <col min="15623" max="15623" width="7.7265625" style="109" customWidth="1"/>
    <col min="15624" max="15624" width="7" style="109" customWidth="1"/>
    <col min="15625" max="15625" width="2.26953125" style="109" customWidth="1"/>
    <col min="15626" max="15626" width="8" style="109" customWidth="1"/>
    <col min="15627" max="15627" width="6" style="109" bestFit="1" customWidth="1"/>
    <col min="15628" max="15628" width="2.453125" style="109" customWidth="1"/>
    <col min="15629" max="15629" width="7.453125" style="109" customWidth="1"/>
    <col min="15630" max="15630" width="6.7265625" style="109" customWidth="1"/>
    <col min="15631" max="15631" width="2.7265625" style="109" customWidth="1"/>
    <col min="15632" max="15632" width="7.453125" style="109" customWidth="1"/>
    <col min="15633" max="15633" width="8.453125" style="109" bestFit="1" customWidth="1"/>
    <col min="15634" max="15634" width="3.54296875" style="109" customWidth="1"/>
    <col min="15635" max="15635" width="9" style="109" customWidth="1"/>
    <col min="15636" max="15872" width="8.7265625" style="109"/>
    <col min="15873" max="15873" width="25" style="109" customWidth="1"/>
    <col min="15874" max="15874" width="7.7265625" style="109" customWidth="1"/>
    <col min="15875" max="15875" width="1.7265625" style="109" customWidth="1"/>
    <col min="15876" max="15876" width="8.453125" style="109" customWidth="1"/>
    <col min="15877" max="15877" width="6" style="109" bestFit="1" customWidth="1"/>
    <col min="15878" max="15878" width="2" style="109" customWidth="1"/>
    <col min="15879" max="15879" width="7.7265625" style="109" customWidth="1"/>
    <col min="15880" max="15880" width="7" style="109" customWidth="1"/>
    <col min="15881" max="15881" width="2.26953125" style="109" customWidth="1"/>
    <col min="15882" max="15882" width="8" style="109" customWidth="1"/>
    <col min="15883" max="15883" width="6" style="109" bestFit="1" customWidth="1"/>
    <col min="15884" max="15884" width="2.453125" style="109" customWidth="1"/>
    <col min="15885" max="15885" width="7.453125" style="109" customWidth="1"/>
    <col min="15886" max="15886" width="6.7265625" style="109" customWidth="1"/>
    <col min="15887" max="15887" width="2.7265625" style="109" customWidth="1"/>
    <col min="15888" max="15888" width="7.453125" style="109" customWidth="1"/>
    <col min="15889" max="15889" width="8.453125" style="109" bestFit="1" customWidth="1"/>
    <col min="15890" max="15890" width="3.54296875" style="109" customWidth="1"/>
    <col min="15891" max="15891" width="9" style="109" customWidth="1"/>
    <col min="15892" max="16128" width="8.7265625" style="109"/>
    <col min="16129" max="16129" width="25" style="109" customWidth="1"/>
    <col min="16130" max="16130" width="7.7265625" style="109" customWidth="1"/>
    <col min="16131" max="16131" width="1.7265625" style="109" customWidth="1"/>
    <col min="16132" max="16132" width="8.453125" style="109" customWidth="1"/>
    <col min="16133" max="16133" width="6" style="109" bestFit="1" customWidth="1"/>
    <col min="16134" max="16134" width="2" style="109" customWidth="1"/>
    <col min="16135" max="16135" width="7.7265625" style="109" customWidth="1"/>
    <col min="16136" max="16136" width="7" style="109" customWidth="1"/>
    <col min="16137" max="16137" width="2.26953125" style="109" customWidth="1"/>
    <col min="16138" max="16138" width="8" style="109" customWidth="1"/>
    <col min="16139" max="16139" width="6" style="109" bestFit="1" customWidth="1"/>
    <col min="16140" max="16140" width="2.453125" style="109" customWidth="1"/>
    <col min="16141" max="16141" width="7.453125" style="109" customWidth="1"/>
    <col min="16142" max="16142" width="6.7265625" style="109" customWidth="1"/>
    <col min="16143" max="16143" width="2.7265625" style="109" customWidth="1"/>
    <col min="16144" max="16144" width="7.453125" style="109" customWidth="1"/>
    <col min="16145" max="16145" width="8.453125" style="109" bestFit="1" customWidth="1"/>
    <col min="16146" max="16146" width="3.54296875" style="109" customWidth="1"/>
    <col min="16147" max="16147" width="9" style="109" customWidth="1"/>
    <col min="16148" max="16384" width="8.7265625" style="109"/>
  </cols>
  <sheetData>
    <row r="1" spans="1:20" x14ac:dyDescent="0.25">
      <c r="A1" s="109" t="s">
        <v>683</v>
      </c>
      <c r="B1" s="109">
        <f>(1+B26*0.3)*E26</f>
        <v>0.8</v>
      </c>
      <c r="D1" s="109" t="s">
        <v>684</v>
      </c>
      <c r="G1" s="109" t="s">
        <v>685</v>
      </c>
      <c r="J1" s="109" t="s">
        <v>686</v>
      </c>
      <c r="M1" s="109" t="s">
        <v>687</v>
      </c>
      <c r="N1" s="109">
        <f>(E28+B25*0.2)</f>
        <v>1</v>
      </c>
      <c r="P1" s="109" t="s">
        <v>688</v>
      </c>
      <c r="Q1" s="109">
        <f>E28+B25</f>
        <v>1</v>
      </c>
      <c r="S1" s="109" t="s">
        <v>689</v>
      </c>
      <c r="T1" s="109">
        <f>Start!B72*(1+B33*0.6)*H52</f>
        <v>0</v>
      </c>
    </row>
    <row r="2" spans="1:20" x14ac:dyDescent="0.25">
      <c r="A2" s="109" t="s">
        <v>690</v>
      </c>
      <c r="D2" s="109" t="s">
        <v>691</v>
      </c>
      <c r="E2" s="109">
        <f>IF((B52+B53+B58)&gt;0,1,0)</f>
        <v>1</v>
      </c>
      <c r="G2" s="109" t="s">
        <v>692</v>
      </c>
      <c r="J2" s="109" t="s">
        <v>693</v>
      </c>
      <c r="K2" s="109">
        <f>(1+B30*0.5)*E30</f>
        <v>1</v>
      </c>
      <c r="M2" s="109" t="s">
        <v>694</v>
      </c>
      <c r="N2" s="109">
        <f>(1+B26*0.1)*E26</f>
        <v>0.93333333333333335</v>
      </c>
      <c r="P2" s="109" t="s">
        <v>695</v>
      </c>
      <c r="S2" s="109" t="s">
        <v>696</v>
      </c>
      <c r="T2" s="109">
        <f>(1+B74*0.4)*E74</f>
        <v>0.8</v>
      </c>
    </row>
    <row r="3" spans="1:20" x14ac:dyDescent="0.25">
      <c r="A3" s="109" t="s">
        <v>697</v>
      </c>
      <c r="B3" s="109">
        <f>(1+B30*0.5)*E30</f>
        <v>1</v>
      </c>
      <c r="D3" s="109" t="s">
        <v>698</v>
      </c>
      <c r="G3" s="109" t="s">
        <v>699</v>
      </c>
      <c r="H3" s="109">
        <f>IF(Start!F42="y",1,0)</f>
        <v>1</v>
      </c>
      <c r="J3" s="109" t="s">
        <v>700</v>
      </c>
      <c r="K3" s="109">
        <f>(1+B27*0.25)*E27</f>
        <v>0.9</v>
      </c>
      <c r="M3" s="109" t="s">
        <v>701</v>
      </c>
      <c r="P3" s="109" t="s">
        <v>702</v>
      </c>
      <c r="Q3" s="109">
        <f>(1+B28*0.5)*E28</f>
        <v>0.75</v>
      </c>
      <c r="S3" s="109" t="s">
        <v>703</v>
      </c>
    </row>
    <row r="4" spans="1:20" x14ac:dyDescent="0.25">
      <c r="A4" s="109" t="s">
        <v>704</v>
      </c>
      <c r="D4" s="109" t="s">
        <v>705</v>
      </c>
      <c r="E4" s="109">
        <f>IF((F!B48+F!E48)&gt;0,1,0)</f>
        <v>1</v>
      </c>
      <c r="G4" s="109" t="s">
        <v>706</v>
      </c>
      <c r="H4" s="109">
        <f>IF(Start!F43="y",1,0)</f>
        <v>0</v>
      </c>
      <c r="J4" s="109" t="s">
        <v>707</v>
      </c>
      <c r="K4" s="109">
        <f>(1+B27*0.125)*E27</f>
        <v>0.95</v>
      </c>
      <c r="M4" s="109" t="s">
        <v>708</v>
      </c>
      <c r="P4" s="109" t="s">
        <v>709</v>
      </c>
      <c r="S4" s="109" t="s">
        <v>710</v>
      </c>
      <c r="T4" s="109">
        <f>4*(1+(K60-1)*0.8)*E52</f>
        <v>4</v>
      </c>
    </row>
    <row r="5" spans="1:20" x14ac:dyDescent="0.25">
      <c r="A5" s="109" t="s">
        <v>711</v>
      </c>
      <c r="B5" s="109">
        <f>(1+B66*0.2)*E66</f>
        <v>0.91999999999999993</v>
      </c>
      <c r="D5" s="109" t="s">
        <v>712</v>
      </c>
      <c r="E5" s="109">
        <f>IF((F!B48+F!E48+E64)&gt;0,1,0)</f>
        <v>1</v>
      </c>
      <c r="G5" s="109" t="s">
        <v>713</v>
      </c>
      <c r="J5" s="109" t="s">
        <v>714</v>
      </c>
      <c r="M5" s="109" t="s">
        <v>715</v>
      </c>
      <c r="P5" s="109" t="s">
        <v>716</v>
      </c>
      <c r="S5" s="109" t="s">
        <v>717</v>
      </c>
      <c r="T5" s="109">
        <f>IF(AND(B52=0,B53&gt;=0),0,1)</f>
        <v>0</v>
      </c>
    </row>
    <row r="6" spans="1:20" x14ac:dyDescent="0.25">
      <c r="A6" s="109" t="s">
        <v>718</v>
      </c>
      <c r="B6" s="109">
        <f>(1+(H49+Start!D19+B58+E62+B53+B52+B64*(1+((Start!D33-1)*0.166))-1)*0.5)*(E66)</f>
        <v>1.5</v>
      </c>
      <c r="D6" s="109" t="s">
        <v>719</v>
      </c>
      <c r="E6" s="109">
        <f>(1+(K60-1)*0.6)*E52</f>
        <v>1</v>
      </c>
      <c r="G6" s="109" t="s">
        <v>720</v>
      </c>
      <c r="H6" s="109">
        <f>(1+B32*0.2)*E32</f>
        <v>0.85</v>
      </c>
      <c r="J6" s="109" t="s">
        <v>721</v>
      </c>
      <c r="M6" s="109" t="s">
        <v>722</v>
      </c>
      <c r="N6" s="109">
        <f>(1+B26*0.06)*E26</f>
        <v>0.96</v>
      </c>
      <c r="P6" s="109" t="s">
        <v>723</v>
      </c>
      <c r="Q6" s="109">
        <f>IF(Start!F49="y",0,1)</f>
        <v>0</v>
      </c>
      <c r="S6" s="109" t="s">
        <v>724</v>
      </c>
    </row>
    <row r="7" spans="1:20" x14ac:dyDescent="0.25">
      <c r="A7" s="109" t="s">
        <v>725</v>
      </c>
      <c r="B7" s="109">
        <f>(1+(H49+Start!D19+B58+E62+B53+B52+B64*(1+((Start!D33-1)*0.25))-1)*0.2)*(E66)</f>
        <v>1.2</v>
      </c>
      <c r="D7" s="109" t="s">
        <v>726</v>
      </c>
      <c r="E7" s="109">
        <f>(1+B30*0.1)*E30</f>
        <v>1</v>
      </c>
      <c r="G7" s="109" t="s">
        <v>727</v>
      </c>
      <c r="J7" s="109" t="s">
        <v>728</v>
      </c>
      <c r="M7" s="109" t="s">
        <v>729</v>
      </c>
      <c r="P7" s="109" t="s">
        <v>730</v>
      </c>
      <c r="Q7" s="109">
        <f>E39+E40</f>
        <v>1</v>
      </c>
      <c r="S7" s="109" t="s">
        <v>731</v>
      </c>
      <c r="T7" s="109">
        <f>(1+B74*0.8)*E74</f>
        <v>0.6</v>
      </c>
    </row>
    <row r="8" spans="1:20" x14ac:dyDescent="0.25">
      <c r="A8" s="109" t="s">
        <v>732</v>
      </c>
      <c r="B8" s="109">
        <f>(1+(B25*0.2))*E28</f>
        <v>1</v>
      </c>
      <c r="D8" s="109" t="s">
        <v>733</v>
      </c>
      <c r="E8" s="109">
        <f>H49+H50*0.6+E49*0.6*H49</f>
        <v>0.7</v>
      </c>
      <c r="G8" s="109" t="s">
        <v>734</v>
      </c>
      <c r="J8" s="109" t="s">
        <v>735</v>
      </c>
      <c r="M8" s="109" t="s">
        <v>736</v>
      </c>
      <c r="P8" s="109" t="s">
        <v>737</v>
      </c>
      <c r="S8" s="109" t="s">
        <v>738</v>
      </c>
      <c r="T8" s="109">
        <f>(1+B28*0.5)*E28</f>
        <v>0.75</v>
      </c>
    </row>
    <row r="9" spans="1:20" x14ac:dyDescent="0.25">
      <c r="A9" s="109" t="s">
        <v>739</v>
      </c>
      <c r="D9" s="109" t="s">
        <v>740</v>
      </c>
      <c r="G9" s="109" t="s">
        <v>741</v>
      </c>
      <c r="H9" s="109">
        <f>IF(B46&gt;0,1,0)</f>
        <v>0</v>
      </c>
      <c r="J9" s="109" t="s">
        <v>742</v>
      </c>
      <c r="K9" s="109">
        <f>(1+B28*0.3)*E28</f>
        <v>0.85</v>
      </c>
      <c r="M9" s="109" t="s">
        <v>743</v>
      </c>
      <c r="S9" s="109" t="s">
        <v>744</v>
      </c>
    </row>
    <row r="10" spans="1:20" x14ac:dyDescent="0.25">
      <c r="A10" s="109" t="s">
        <v>745</v>
      </c>
      <c r="B10" s="109">
        <f>(E28)+(B26*0.3*E26)+B25*0.5</f>
        <v>0.8</v>
      </c>
      <c r="D10" s="109" t="s">
        <v>746</v>
      </c>
      <c r="E10" s="109">
        <f>(1+B28*0.2)*E28</f>
        <v>0.9</v>
      </c>
      <c r="G10" s="109" t="s">
        <v>747</v>
      </c>
      <c r="H10" s="109">
        <f>IF(B42&gt;0,1,0)</f>
        <v>0</v>
      </c>
      <c r="J10" s="109" t="s">
        <v>748</v>
      </c>
      <c r="M10" s="109" t="s">
        <v>749</v>
      </c>
      <c r="N10" s="109">
        <f>(1+B27*0.3)*E27</f>
        <v>0.88</v>
      </c>
      <c r="P10" s="109" t="s">
        <v>750</v>
      </c>
      <c r="Q10" s="109">
        <f>IF(Start!F46&gt;3,3,Start!F46)</f>
        <v>0</v>
      </c>
      <c r="S10" s="109" t="s">
        <v>751</v>
      </c>
      <c r="T10" s="109">
        <f>E28</f>
        <v>1</v>
      </c>
    </row>
    <row r="11" spans="1:20" x14ac:dyDescent="0.25">
      <c r="A11" s="109" t="s">
        <v>752</v>
      </c>
      <c r="B11" s="109">
        <f>(1+B30*0.25)*E30</f>
        <v>1</v>
      </c>
      <c r="D11" s="109" t="s">
        <v>753</v>
      </c>
      <c r="E11" s="109">
        <f>(1+(K60-1)*0.1)*E52</f>
        <v>1</v>
      </c>
      <c r="G11" s="109" t="s">
        <v>754</v>
      </c>
      <c r="H11" s="120"/>
      <c r="J11" s="109" t="s">
        <v>755</v>
      </c>
      <c r="K11" s="109">
        <f>(1+B28*0.4)*E28</f>
        <v>0.8</v>
      </c>
      <c r="M11" s="109" t="s">
        <v>756</v>
      </c>
      <c r="N11" s="109">
        <f>IF(B37&gt;0,1,0)</f>
        <v>1</v>
      </c>
      <c r="P11" s="109" t="s">
        <v>757</v>
      </c>
      <c r="Q11" s="109">
        <f>IF(Start!F45&gt;3,3,Start!F45)</f>
        <v>0</v>
      </c>
      <c r="S11" s="109" t="s">
        <v>758</v>
      </c>
      <c r="T11" s="109">
        <f>(1+B26*0.3)*E26</f>
        <v>0.8</v>
      </c>
    </row>
    <row r="12" spans="1:20" x14ac:dyDescent="0.25">
      <c r="A12" s="109" t="s">
        <v>759</v>
      </c>
      <c r="D12" s="109" t="s">
        <v>760</v>
      </c>
      <c r="E12" s="109">
        <f>(1+B30*0.2)*E30</f>
        <v>1</v>
      </c>
      <c r="G12" s="109" t="s">
        <v>761</v>
      </c>
      <c r="H12" s="109">
        <f>(1+B27*0.4)*E27</f>
        <v>0.84</v>
      </c>
      <c r="J12" s="109" t="s">
        <v>762</v>
      </c>
      <c r="M12" s="109" t="s">
        <v>763</v>
      </c>
      <c r="S12" s="109" t="s">
        <v>764</v>
      </c>
      <c r="T12" s="109">
        <f>(1+B28*0.2)*E28</f>
        <v>0.9</v>
      </c>
    </row>
    <row r="13" spans="1:20" x14ac:dyDescent="0.25">
      <c r="A13" s="109" t="s">
        <v>765</v>
      </c>
      <c r="B13" s="109">
        <f>(1+B28*0.32)*(E28)</f>
        <v>0.84</v>
      </c>
      <c r="D13" s="109" t="s">
        <v>766</v>
      </c>
      <c r="E13" s="109">
        <f>(1+B29*0.1)*E29</f>
        <v>0.95</v>
      </c>
      <c r="G13" s="109" t="s">
        <v>767</v>
      </c>
      <c r="H13" s="109">
        <f>(1+B28)*E28</f>
        <v>0.5</v>
      </c>
      <c r="J13" s="109" t="s">
        <v>768</v>
      </c>
      <c r="M13" s="109" t="s">
        <v>769</v>
      </c>
      <c r="N13" s="109">
        <f>IF(AND(E28=0,B53=0,B58=0,B52=1),1,0)</f>
        <v>0</v>
      </c>
      <c r="S13" s="109" t="s">
        <v>770</v>
      </c>
      <c r="T13" s="109">
        <f>(1+B28*0.3)*E28</f>
        <v>0.85</v>
      </c>
    </row>
    <row r="14" spans="1:20" x14ac:dyDescent="0.25">
      <c r="D14" s="109" t="s">
        <v>771</v>
      </c>
      <c r="E14" s="109">
        <f>(1+B33*0.2)*E33</f>
        <v>1</v>
      </c>
      <c r="G14" s="109" t="s">
        <v>772</v>
      </c>
      <c r="H14" s="109">
        <f>E28+B25*0.9</f>
        <v>1</v>
      </c>
      <c r="J14" s="109" t="s">
        <v>773</v>
      </c>
      <c r="M14" s="109" t="s">
        <v>774</v>
      </c>
      <c r="P14" s="109" t="s">
        <v>775</v>
      </c>
      <c r="Q14" s="109">
        <f>IF(Start!F38="y",1,0)</f>
        <v>1</v>
      </c>
      <c r="S14" s="109" t="s">
        <v>776</v>
      </c>
      <c r="T14" s="109">
        <f>E26</f>
        <v>1</v>
      </c>
    </row>
    <row r="15" spans="1:20" x14ac:dyDescent="0.25">
      <c r="D15" s="109" t="s">
        <v>777</v>
      </c>
      <c r="G15" s="109" t="s">
        <v>778</v>
      </c>
      <c r="H15" s="121"/>
      <c r="J15" s="109" t="s">
        <v>779</v>
      </c>
      <c r="M15" s="109" t="s">
        <v>780</v>
      </c>
      <c r="P15" s="109" t="s">
        <v>781</v>
      </c>
      <c r="Q15" s="109">
        <f>IF(Start!F39="y",1,0)</f>
        <v>0</v>
      </c>
      <c r="S15" s="109" t="s">
        <v>782</v>
      </c>
    </row>
    <row r="16" spans="1:20" x14ac:dyDescent="0.25">
      <c r="D16" s="109" t="s">
        <v>783</v>
      </c>
      <c r="G16" s="109" t="s">
        <v>784</v>
      </c>
      <c r="H16" s="109">
        <f>SUM(B39:B46)</f>
        <v>2</v>
      </c>
      <c r="M16" s="109" t="s">
        <v>785</v>
      </c>
      <c r="P16" s="109" t="s">
        <v>786</v>
      </c>
      <c r="Q16" s="109">
        <f>IF(Start!F40="y",1,0)</f>
        <v>0</v>
      </c>
      <c r="S16" s="109" t="s">
        <v>787</v>
      </c>
      <c r="T16" s="109">
        <f>(1+B28*0.4)*E28</f>
        <v>0.8</v>
      </c>
    </row>
    <row r="17" spans="1:20" x14ac:dyDescent="0.25">
      <c r="D17" s="109" t="s">
        <v>788</v>
      </c>
      <c r="E17" s="109">
        <f>(1+B76*0.3)*E76</f>
        <v>0.8</v>
      </c>
      <c r="G17" s="109" t="s">
        <v>789</v>
      </c>
      <c r="H17" s="109">
        <f>(1+0.075*B65)*E65</f>
        <v>0</v>
      </c>
      <c r="M17" s="109" t="s">
        <v>790</v>
      </c>
      <c r="P17" s="109" t="s">
        <v>791</v>
      </c>
      <c r="S17" s="109" t="s">
        <v>792</v>
      </c>
    </row>
    <row r="18" spans="1:20" x14ac:dyDescent="0.25">
      <c r="D18" s="109" t="s">
        <v>793</v>
      </c>
      <c r="G18" s="109" t="s">
        <v>794</v>
      </c>
      <c r="M18" s="109" t="s">
        <v>795</v>
      </c>
      <c r="S18" s="109" t="s">
        <v>796</v>
      </c>
    </row>
    <row r="19" spans="1:20" x14ac:dyDescent="0.25">
      <c r="D19" s="109" t="s">
        <v>797</v>
      </c>
      <c r="E19" s="109">
        <f>IF(B53&gt;0,1,0)</f>
        <v>1</v>
      </c>
      <c r="G19" s="109" t="s">
        <v>798</v>
      </c>
      <c r="H19" s="109">
        <f>(1+H32*0.4)*(H33)</f>
        <v>0.7</v>
      </c>
      <c r="M19" s="109" t="s">
        <v>799</v>
      </c>
      <c r="N19" s="109">
        <f>IF(E28=1,1.2,1)</f>
        <v>1.2</v>
      </c>
      <c r="S19" s="109" t="s">
        <v>800</v>
      </c>
      <c r="T19" s="109">
        <f>(1+K49*0.2)*M49*3</f>
        <v>2.7</v>
      </c>
    </row>
    <row r="20" spans="1:20" x14ac:dyDescent="0.25">
      <c r="D20" s="109" t="s">
        <v>801</v>
      </c>
      <c r="G20" s="109" t="s">
        <v>802</v>
      </c>
      <c r="M20" s="109" t="s">
        <v>803</v>
      </c>
      <c r="N20" s="109">
        <f>(B39*V!T30)+(B40*V!T31)+(B41*V!T25)+(B42*V!T26)+(B44*V!T27)+(B45*V!T32)+(B46*V!T34)</f>
        <v>16300</v>
      </c>
      <c r="S20" s="109" t="s">
        <v>804</v>
      </c>
      <c r="T20" s="109">
        <f>(1+B28*0.5)*E28*3</f>
        <v>2.25</v>
      </c>
    </row>
    <row r="21" spans="1:20" x14ac:dyDescent="0.25">
      <c r="D21" s="109" t="s">
        <v>805</v>
      </c>
      <c r="E21" s="109">
        <f>IF(B58&gt;0,1,0)</f>
        <v>0</v>
      </c>
      <c r="G21" s="109" t="s">
        <v>806</v>
      </c>
      <c r="M21" s="109" t="s">
        <v>807</v>
      </c>
      <c r="P21" s="109" t="s">
        <v>808</v>
      </c>
      <c r="S21" s="109" t="s">
        <v>809</v>
      </c>
      <c r="T21" s="109">
        <f>(1+B28*0.7)*E28*3</f>
        <v>1.9500000000000002</v>
      </c>
    </row>
    <row r="22" spans="1:20" x14ac:dyDescent="0.25">
      <c r="D22" s="109" t="s">
        <v>810</v>
      </c>
      <c r="E22" s="122"/>
      <c r="G22" s="109" t="s">
        <v>811</v>
      </c>
      <c r="H22" s="109">
        <f>(1+H67*0.5)*(K67)</f>
        <v>0.75</v>
      </c>
      <c r="M22" s="109" t="s">
        <v>812</v>
      </c>
      <c r="P22" s="109" t="s">
        <v>813</v>
      </c>
      <c r="Q22" s="109">
        <f>(1+0.1*B73)*(E73)</f>
        <v>0</v>
      </c>
      <c r="S22" s="109" t="s">
        <v>814</v>
      </c>
      <c r="T22" s="109">
        <f>(1+B28*0.6)*E28*3</f>
        <v>2.0999999999999996</v>
      </c>
    </row>
    <row r="23" spans="1:20" x14ac:dyDescent="0.25">
      <c r="D23" s="109" t="s">
        <v>815</v>
      </c>
      <c r="E23" s="109">
        <f>(1+B29*0.2)*E29</f>
        <v>0.9</v>
      </c>
      <c r="G23" s="109" t="s">
        <v>816</v>
      </c>
      <c r="H23" s="109">
        <f>(1+B75*0.4)*E75</f>
        <v>0.8</v>
      </c>
      <c r="M23" s="109" t="s">
        <v>817</v>
      </c>
      <c r="N23" s="109">
        <f>IF(AND(B49+B50=0,E43=1),0,1)</f>
        <v>1</v>
      </c>
      <c r="P23" s="109" t="s">
        <v>818</v>
      </c>
      <c r="Q23" s="120">
        <f>(1+0.25*B73)*E73</f>
        <v>0</v>
      </c>
      <c r="S23" s="109" t="s">
        <v>819</v>
      </c>
    </row>
    <row r="24" spans="1:20" x14ac:dyDescent="0.25">
      <c r="D24" s="109" t="s">
        <v>820</v>
      </c>
      <c r="E24" s="109">
        <f>IF(Start!D19=1,1,0)+0.6*IF(Start!C19=1,1,0)</f>
        <v>0</v>
      </c>
      <c r="G24" s="109" t="s">
        <v>821</v>
      </c>
      <c r="H24" s="109">
        <f>(E66+B66*0.4*E66)</f>
        <v>0.84</v>
      </c>
      <c r="P24" s="109" t="s">
        <v>822</v>
      </c>
      <c r="Q24" s="109">
        <f>(1+(B30+B64)*0.5)*(E30)</f>
        <v>1</v>
      </c>
      <c r="S24" s="109" t="s">
        <v>823</v>
      </c>
      <c r="T24" s="109">
        <f>(1+B28)*E28*320</f>
        <v>160</v>
      </c>
    </row>
    <row r="25" spans="1:20" x14ac:dyDescent="0.25">
      <c r="A25" s="109" t="s">
        <v>824</v>
      </c>
      <c r="B25" s="109">
        <f>F!E62</f>
        <v>0</v>
      </c>
      <c r="M25" s="109" t="s">
        <v>825</v>
      </c>
      <c r="N25" s="109">
        <f>(1+B50*0.1)*H50</f>
        <v>0</v>
      </c>
      <c r="P25" s="109" t="s">
        <v>826</v>
      </c>
      <c r="Q25" s="109">
        <f>IF(AND(B30=-1,B64=1),1,0)</f>
        <v>0</v>
      </c>
      <c r="S25" s="109" t="s">
        <v>827</v>
      </c>
      <c r="T25" s="109">
        <f>(1+B30*0.8)*E30*320</f>
        <v>320</v>
      </c>
    </row>
    <row r="26" spans="1:20" x14ac:dyDescent="0.25">
      <c r="A26" s="109" t="s">
        <v>828</v>
      </c>
      <c r="B26" s="109">
        <f>((SUM(Start!C15:'Start'!D19)+SUM(Start!C22:'Start'!D22))-3)/3</f>
        <v>-0.66666666666666663</v>
      </c>
      <c r="D26" s="109" t="s">
        <v>829</v>
      </c>
      <c r="E26" s="109">
        <f t="shared" ref="E26:E33" si="0">IF(B26&gt;-1,1,0)</f>
        <v>1</v>
      </c>
      <c r="M26" s="109" t="s">
        <v>830</v>
      </c>
      <c r="P26" s="109" t="s">
        <v>831</v>
      </c>
      <c r="Q26" s="109">
        <f>(1+B31*0.25)*(E31)+(E64*0.5)</f>
        <v>1</v>
      </c>
      <c r="S26" s="109" t="s">
        <v>832</v>
      </c>
      <c r="T26" s="109">
        <f>(1+B28)*E28*12</f>
        <v>6</v>
      </c>
    </row>
    <row r="27" spans="1:20" x14ac:dyDescent="0.25">
      <c r="A27" s="109" t="s">
        <v>833</v>
      </c>
      <c r="B27" s="109">
        <f>((F!B48+F!E48+F!B59)-5)/5</f>
        <v>-0.4</v>
      </c>
      <c r="D27" s="109" t="s">
        <v>834</v>
      </c>
      <c r="E27" s="109">
        <f t="shared" si="0"/>
        <v>1</v>
      </c>
      <c r="P27" s="109" t="s">
        <v>835</v>
      </c>
      <c r="S27" s="109" t="s">
        <v>836</v>
      </c>
      <c r="T27" s="109">
        <f>(1+B30*0.8)*E30*12</f>
        <v>12</v>
      </c>
    </row>
    <row r="28" spans="1:20" x14ac:dyDescent="0.25">
      <c r="A28" s="109" t="s">
        <v>837</v>
      </c>
      <c r="B28" s="109">
        <f>((F!B48+F!E48)-4)/4</f>
        <v>-0.5</v>
      </c>
      <c r="D28" s="109" t="s">
        <v>838</v>
      </c>
      <c r="E28" s="109">
        <f t="shared" si="0"/>
        <v>1</v>
      </c>
      <c r="G28" s="109" t="s">
        <v>839</v>
      </c>
      <c r="H28" s="123">
        <f>IF(B28&gt;-1,1,0.625)</f>
        <v>1</v>
      </c>
      <c r="J28" s="109" t="s">
        <v>840</v>
      </c>
      <c r="K28" s="109">
        <f>IF(AND(B28&gt;-1,B58&gt;0),0.5,1)</f>
        <v>1</v>
      </c>
      <c r="M28" s="109" t="s">
        <v>841</v>
      </c>
      <c r="N28" s="109">
        <f>(1+B49*0.05)*H49</f>
        <v>1.1000000000000001</v>
      </c>
      <c r="P28" s="109" t="s">
        <v>842</v>
      </c>
      <c r="S28" s="109" t="s">
        <v>843</v>
      </c>
      <c r="T28" s="109">
        <f>(1+B28)*E28*12</f>
        <v>6</v>
      </c>
    </row>
    <row r="29" spans="1:20" x14ac:dyDescent="0.25">
      <c r="A29" s="109" t="s">
        <v>844</v>
      </c>
      <c r="B29" s="109">
        <f>((B48+E48+B58)-4)/4</f>
        <v>-0.5</v>
      </c>
      <c r="D29" s="109" t="s">
        <v>845</v>
      </c>
      <c r="E29" s="109">
        <f t="shared" si="0"/>
        <v>1</v>
      </c>
      <c r="M29" s="109" t="s">
        <v>846</v>
      </c>
      <c r="P29" s="109" t="s">
        <v>847</v>
      </c>
      <c r="S29" s="109" t="s">
        <v>848</v>
      </c>
      <c r="T29" s="109">
        <f>(1+B28)*E28*4</f>
        <v>2</v>
      </c>
    </row>
    <row r="30" spans="1:20" x14ac:dyDescent="0.25">
      <c r="A30" s="109" t="s">
        <v>849</v>
      </c>
      <c r="B30" s="109">
        <f>(F!B59-1)/1</f>
        <v>0</v>
      </c>
      <c r="D30" s="109" t="s">
        <v>850</v>
      </c>
      <c r="E30" s="109">
        <f t="shared" si="0"/>
        <v>1</v>
      </c>
      <c r="P30" s="109" t="s">
        <v>851</v>
      </c>
      <c r="Q30" s="120">
        <f>(1+B66*0.5)*(E66)</f>
        <v>0.8</v>
      </c>
      <c r="S30" s="109" t="s">
        <v>852</v>
      </c>
      <c r="T30" s="109">
        <f>(1+B30*0.8)*E30*4</f>
        <v>4</v>
      </c>
    </row>
    <row r="31" spans="1:20" x14ac:dyDescent="0.25">
      <c r="A31" s="109" t="s">
        <v>853</v>
      </c>
      <c r="B31" s="109">
        <f>(B59+B64)-1/1</f>
        <v>0</v>
      </c>
      <c r="D31" s="109" t="s">
        <v>854</v>
      </c>
      <c r="E31" s="109">
        <f t="shared" si="0"/>
        <v>1</v>
      </c>
      <c r="M31" s="109" t="s">
        <v>855</v>
      </c>
      <c r="N31" s="109">
        <f>(B52*V!T29)</f>
        <v>0</v>
      </c>
      <c r="P31" s="109" t="s">
        <v>856</v>
      </c>
      <c r="Q31" s="123">
        <f>(1+B66*0.3333)*(E66)</f>
        <v>0.86668000000000001</v>
      </c>
      <c r="S31" s="109" t="s">
        <v>857</v>
      </c>
      <c r="T31" s="109">
        <f>(1+B28)*E28*4</f>
        <v>2</v>
      </c>
    </row>
    <row r="32" spans="1:20" x14ac:dyDescent="0.25">
      <c r="A32" s="109" t="s">
        <v>858</v>
      </c>
      <c r="B32" s="109">
        <f>((SUM(Start!C15:'Start'!D19)+SUM(Start!C22:'Start'!D22)+B58)-4)/4</f>
        <v>-0.75</v>
      </c>
      <c r="D32" s="109" t="s">
        <v>859</v>
      </c>
      <c r="E32" s="109">
        <f t="shared" si="0"/>
        <v>1</v>
      </c>
      <c r="G32" s="109" t="s">
        <v>860</v>
      </c>
      <c r="H32" s="109">
        <f>((SUM(Start!C15:'Start'!D19)+Start!C22+Start!D22)-4)/4</f>
        <v>-0.75</v>
      </c>
      <c r="J32" s="109">
        <f>(SUM(Start!C27+Start!C29+Start!D27+Start!D29)-1)/1</f>
        <v>-1</v>
      </c>
      <c r="M32" s="109" t="s">
        <v>861</v>
      </c>
      <c r="N32" s="109">
        <f>(B53*V!T28)</f>
        <v>18000</v>
      </c>
      <c r="P32" s="109" t="s">
        <v>862</v>
      </c>
      <c r="S32" s="109" t="s">
        <v>863</v>
      </c>
      <c r="T32" s="109">
        <f>4*E28</f>
        <v>4</v>
      </c>
    </row>
    <row r="33" spans="1:20" x14ac:dyDescent="0.25">
      <c r="A33" s="109" t="s">
        <v>864</v>
      </c>
      <c r="B33" s="109">
        <f>(K60-1)/1</f>
        <v>0</v>
      </c>
      <c r="D33" s="109" t="s">
        <v>865</v>
      </c>
      <c r="E33" s="109">
        <f t="shared" si="0"/>
        <v>1</v>
      </c>
      <c r="H33" s="109">
        <f>IF(H32&gt;-1,1,0)</f>
        <v>1</v>
      </c>
      <c r="J33" s="109">
        <f>IF(J32&gt;-1,1,0)</f>
        <v>0</v>
      </c>
      <c r="M33" s="109" t="s">
        <v>866</v>
      </c>
      <c r="N33" s="109">
        <f>IF(AND(B48=1,B46&gt;0),1,0)</f>
        <v>0</v>
      </c>
      <c r="P33" s="109" t="s">
        <v>867</v>
      </c>
      <c r="S33" s="109" t="s">
        <v>868</v>
      </c>
      <c r="T33" s="109">
        <f>4*E30</f>
        <v>4</v>
      </c>
    </row>
    <row r="34" spans="1:20" x14ac:dyDescent="0.25">
      <c r="A34" s="109" t="s">
        <v>869</v>
      </c>
      <c r="B34" s="109">
        <f>E48+Start!D27+Start!D29</f>
        <v>2</v>
      </c>
      <c r="D34" s="109" t="s">
        <v>870</v>
      </c>
      <c r="E34" s="109">
        <f>IF(B34&gt;=1,1,0)</f>
        <v>1</v>
      </c>
      <c r="M34" s="109" t="s">
        <v>871</v>
      </c>
      <c r="N34" s="109">
        <f>IF(AND(E48=1,B46&gt;0),1,0)</f>
        <v>0</v>
      </c>
      <c r="P34" s="109" t="s">
        <v>872</v>
      </c>
      <c r="Q34" s="109">
        <f>(1+D71*0.5)*(E71)</f>
        <v>0.8</v>
      </c>
      <c r="S34" s="109" t="s">
        <v>873</v>
      </c>
    </row>
    <row r="35" spans="1:20" x14ac:dyDescent="0.25">
      <c r="A35" s="109" t="s">
        <v>874</v>
      </c>
      <c r="B35" s="109">
        <f>((B48+E48+B54+B56)-4)/4</f>
        <v>-0.5</v>
      </c>
      <c r="D35" s="109" t="s">
        <v>875</v>
      </c>
      <c r="E35" s="109">
        <f>IF(B35&gt;-1,1,0)</f>
        <v>1</v>
      </c>
      <c r="P35" s="109" t="s">
        <v>876</v>
      </c>
      <c r="Q35" s="109">
        <f>IF(E28+E30&gt;0,1,0)</f>
        <v>1</v>
      </c>
      <c r="S35" s="109" t="s">
        <v>877</v>
      </c>
    </row>
    <row r="36" spans="1:20" x14ac:dyDescent="0.25">
      <c r="A36" s="109" t="s">
        <v>878</v>
      </c>
      <c r="B36" s="109">
        <f>((E48+K59)-5)/5</f>
        <v>-0.4</v>
      </c>
      <c r="D36" s="109" t="s">
        <v>879</v>
      </c>
      <c r="E36" s="109">
        <f>IF(B36&gt;-1,1,0)</f>
        <v>1</v>
      </c>
      <c r="M36" s="109" t="s">
        <v>880</v>
      </c>
      <c r="N36" s="109">
        <f>IF(E43=1,0,1)</f>
        <v>1</v>
      </c>
      <c r="P36" s="109" t="s">
        <v>881</v>
      </c>
      <c r="Q36" s="109">
        <f>(1+B72*0.3)*E72</f>
        <v>0</v>
      </c>
      <c r="S36" s="109" t="s">
        <v>882</v>
      </c>
      <c r="T36" s="109">
        <f>(1+B30*0.2)*E30</f>
        <v>1</v>
      </c>
    </row>
    <row r="37" spans="1:20" x14ac:dyDescent="0.25">
      <c r="A37" s="109" t="s">
        <v>883</v>
      </c>
      <c r="B37" s="109">
        <f>E48+B58</f>
        <v>2</v>
      </c>
      <c r="M37" s="109" t="s">
        <v>884</v>
      </c>
      <c r="N37" s="109">
        <f>(1+0.9*(B43-1))</f>
        <v>9.9999999999999978E-2</v>
      </c>
      <c r="P37" s="109" t="s">
        <v>885</v>
      </c>
      <c r="Q37" s="109">
        <f>IF(E28+B58+B64=3,2,IF(E28+B58+B64=2,1.5,IF(E28+B58+B64=1,1,0)))</f>
        <v>1</v>
      </c>
      <c r="S37" s="109" t="s">
        <v>886</v>
      </c>
      <c r="T37" s="109">
        <f>(1+B30*0.1)*E30</f>
        <v>1</v>
      </c>
    </row>
    <row r="38" spans="1:20" x14ac:dyDescent="0.25">
      <c r="P38" s="109" t="s">
        <v>887</v>
      </c>
      <c r="S38" s="109" t="s">
        <v>888</v>
      </c>
      <c r="T38" s="109">
        <f>(B52*V!T29+B53*V!T28)</f>
        <v>18000</v>
      </c>
    </row>
    <row r="39" spans="1:20" x14ac:dyDescent="0.25">
      <c r="A39" s="109" t="s">
        <v>889</v>
      </c>
      <c r="B39" s="109">
        <f>Start!C15+Start!D15</f>
        <v>0</v>
      </c>
      <c r="D39" s="109" t="s">
        <v>890</v>
      </c>
      <c r="E39" s="109">
        <f>IF((SUM(Start!C15:'Start'!C18)+Start!C22)=0,0,1)</f>
        <v>0</v>
      </c>
      <c r="H39" s="109">
        <f>IF(SUM(B39:B46)&gt;0,1,0)</f>
        <v>1</v>
      </c>
      <c r="M39" s="109" t="s">
        <v>891</v>
      </c>
      <c r="N39" s="109">
        <f>(1+0.05*(K50))*M50</f>
        <v>1.05</v>
      </c>
      <c r="P39" s="109" t="s">
        <v>892</v>
      </c>
      <c r="S39" s="109" t="s">
        <v>893</v>
      </c>
    </row>
    <row r="40" spans="1:20" x14ac:dyDescent="0.25">
      <c r="A40" s="109" t="s">
        <v>894</v>
      </c>
      <c r="B40" s="109">
        <f>Start!C16+Start!D16</f>
        <v>0</v>
      </c>
      <c r="D40" s="109" t="s">
        <v>895</v>
      </c>
      <c r="E40" s="109">
        <f>IF((SUM(Start!D15:'Start'!D18)+Start!D22)=0,0,1)</f>
        <v>1</v>
      </c>
      <c r="H40" s="109">
        <f>(1+(SUM(B39:B46)-1)*0.15)*H39</f>
        <v>1.1499999999999999</v>
      </c>
      <c r="P40" s="109" t="s">
        <v>896</v>
      </c>
      <c r="S40" s="109" t="s">
        <v>897</v>
      </c>
      <c r="T40" s="109">
        <f>(1+B74*0.6)*E74</f>
        <v>0.7</v>
      </c>
    </row>
    <row r="41" spans="1:20" x14ac:dyDescent="0.25">
      <c r="A41" s="109" t="s">
        <v>898</v>
      </c>
      <c r="B41" s="109">
        <f>Start!C17+Start!D17</f>
        <v>1</v>
      </c>
      <c r="S41" s="109" t="s">
        <v>899</v>
      </c>
      <c r="T41" s="109">
        <f>(1+B30*0.8)*E30*4</f>
        <v>4</v>
      </c>
    </row>
    <row r="42" spans="1:20" x14ac:dyDescent="0.25">
      <c r="A42" s="109" t="s">
        <v>900</v>
      </c>
      <c r="B42" s="109">
        <f>Start!C18+Start!D18</f>
        <v>0</v>
      </c>
      <c r="S42" s="109" t="s">
        <v>901</v>
      </c>
    </row>
    <row r="43" spans="1:20" x14ac:dyDescent="0.25">
      <c r="A43" s="109" t="s">
        <v>902</v>
      </c>
      <c r="B43" s="109">
        <f>Start!C19+Start!D19</f>
        <v>0</v>
      </c>
      <c r="D43" s="109" t="s">
        <v>903</v>
      </c>
      <c r="E43" s="109">
        <f>IF(B43&gt;0,1,0)</f>
        <v>0</v>
      </c>
      <c r="G43" s="109">
        <f>IF(Start!C19&gt;0,0.9,0)</f>
        <v>0</v>
      </c>
      <c r="S43" s="109" t="s">
        <v>904</v>
      </c>
      <c r="T43" s="109">
        <f>IF(AND(B49+B50=0,E43=1),0,1)</f>
        <v>1</v>
      </c>
    </row>
    <row r="44" spans="1:20" x14ac:dyDescent="0.25">
      <c r="A44" s="109" t="s">
        <v>905</v>
      </c>
      <c r="B44" s="109">
        <f>Start!C20+Start!D20</f>
        <v>0</v>
      </c>
      <c r="S44" s="109" t="s">
        <v>906</v>
      </c>
      <c r="T44" s="109">
        <f>(1+B28)*(E28)</f>
        <v>0.5</v>
      </c>
    </row>
    <row r="45" spans="1:20" x14ac:dyDescent="0.25">
      <c r="A45" s="109" t="s">
        <v>907</v>
      </c>
      <c r="B45" s="109">
        <f>Start!C21+Start!D21</f>
        <v>1</v>
      </c>
      <c r="S45" s="109" t="s">
        <v>908</v>
      </c>
      <c r="T45" s="109">
        <f>(1+B74*0.5)*E74*3</f>
        <v>2.25</v>
      </c>
    </row>
    <row r="46" spans="1:20" x14ac:dyDescent="0.25">
      <c r="A46" s="109" t="s">
        <v>909</v>
      </c>
      <c r="B46" s="109">
        <f>Start!C22+Start!D22</f>
        <v>0</v>
      </c>
      <c r="S46" s="109" t="s">
        <v>910</v>
      </c>
      <c r="T46" s="109">
        <f>(1+B28*0.8)*(E28)</f>
        <v>0.6</v>
      </c>
    </row>
    <row r="47" spans="1:20" x14ac:dyDescent="0.25">
      <c r="S47" s="109" t="s">
        <v>911</v>
      </c>
      <c r="T47" s="109">
        <f>(1+B30*0.8)*E30</f>
        <v>1</v>
      </c>
    </row>
    <row r="48" spans="1:20" x14ac:dyDescent="0.25">
      <c r="A48" s="109" t="s">
        <v>912</v>
      </c>
      <c r="B48" s="109">
        <f>SUM(Start!C15:'Start'!C22)</f>
        <v>0</v>
      </c>
      <c r="D48" s="109" t="s">
        <v>913</v>
      </c>
      <c r="E48" s="109">
        <f>SUM(Start!D15:'Start'!D22)</f>
        <v>2</v>
      </c>
      <c r="S48" s="109" t="s">
        <v>914</v>
      </c>
      <c r="T48" s="109">
        <f>E53</f>
        <v>1</v>
      </c>
    </row>
    <row r="49" spans="1:20" x14ac:dyDescent="0.25">
      <c r="A49" s="109" t="s">
        <v>915</v>
      </c>
      <c r="B49" s="109">
        <f>(SUM(Start!D15:'Start'!D22)-Start!D19)</f>
        <v>2</v>
      </c>
      <c r="D49" s="109" t="s">
        <v>916</v>
      </c>
      <c r="E49" s="109">
        <f>((SUM(Start!D15:'Start'!D18)+SUM(Start!D20:'Start'!D22))-4)/4</f>
        <v>-0.5</v>
      </c>
      <c r="G49" s="109" t="s">
        <v>917</v>
      </c>
      <c r="H49" s="109">
        <f>IF(E49&gt;-1,1,0)</f>
        <v>1</v>
      </c>
      <c r="J49" s="109" t="s">
        <v>918</v>
      </c>
      <c r="K49" s="109">
        <f>(B49+B50-4)/4</f>
        <v>-0.5</v>
      </c>
      <c r="M49" s="109">
        <f>IF(K49&gt;-1,1,0)</f>
        <v>1</v>
      </c>
      <c r="S49" s="109" t="s">
        <v>919</v>
      </c>
      <c r="T49" s="109">
        <f>(1+B28*0.3)*E28</f>
        <v>0.85</v>
      </c>
    </row>
    <row r="50" spans="1:20" x14ac:dyDescent="0.25">
      <c r="A50" s="109" t="s">
        <v>920</v>
      </c>
      <c r="B50" s="109">
        <f>(SUM(Start!C15:'Start'!C18)+SUM(Start!C20:'Start'!C22))</f>
        <v>0</v>
      </c>
      <c r="G50" s="109" t="s">
        <v>921</v>
      </c>
      <c r="H50" s="109">
        <f>IF(B50=0,0,1)</f>
        <v>0</v>
      </c>
      <c r="K50" s="109">
        <f>((B49+B50)-1)/1</f>
        <v>1</v>
      </c>
      <c r="M50" s="109">
        <f>IF(K50&gt;-1,1,0)</f>
        <v>1</v>
      </c>
      <c r="N50" s="109">
        <f>IF(AND(B49+B50&gt;0,B48+E48&gt;0),0.8,1)</f>
        <v>0.8</v>
      </c>
      <c r="S50" s="109" t="s">
        <v>922</v>
      </c>
      <c r="T50" s="109">
        <f>(1+B27)*E27</f>
        <v>0.6</v>
      </c>
    </row>
    <row r="51" spans="1:20" x14ac:dyDescent="0.25">
      <c r="S51" s="109" t="s">
        <v>923</v>
      </c>
    </row>
    <row r="52" spans="1:20" x14ac:dyDescent="0.25">
      <c r="A52" s="109" t="s">
        <v>924</v>
      </c>
      <c r="B52" s="109">
        <f>Start!D25</f>
        <v>0</v>
      </c>
      <c r="D52" s="109" t="s">
        <v>925</v>
      </c>
      <c r="E52" s="109">
        <f>IF((B52+B53)&gt;0,1,0)</f>
        <v>1</v>
      </c>
      <c r="G52" s="109" t="s">
        <v>926</v>
      </c>
      <c r="H52" s="109">
        <f>IF(B52&gt;0,1,0)</f>
        <v>0</v>
      </c>
      <c r="S52" s="109" t="s">
        <v>927</v>
      </c>
    </row>
    <row r="53" spans="1:20" x14ac:dyDescent="0.25">
      <c r="A53" s="109" t="s">
        <v>928</v>
      </c>
      <c r="B53" s="109">
        <f>Start!C26+Start!D26</f>
        <v>1</v>
      </c>
      <c r="D53" s="109" t="s">
        <v>929</v>
      </c>
      <c r="E53" s="109">
        <f>IF(B53&gt;0,1,0)</f>
        <v>1</v>
      </c>
      <c r="S53" s="109" t="s">
        <v>930</v>
      </c>
    </row>
    <row r="54" spans="1:20" x14ac:dyDescent="0.25">
      <c r="A54" s="109" t="s">
        <v>931</v>
      </c>
      <c r="B54" s="109">
        <f>Start!D27</f>
        <v>0</v>
      </c>
      <c r="D54" s="109" t="s">
        <v>932</v>
      </c>
      <c r="E54" s="109">
        <f>IF(B54=0,0,1)</f>
        <v>0</v>
      </c>
      <c r="S54" s="109" t="s">
        <v>933</v>
      </c>
    </row>
    <row r="55" spans="1:20" x14ac:dyDescent="0.25">
      <c r="A55" s="109" t="s">
        <v>934</v>
      </c>
      <c r="B55" s="109">
        <f>Start!D28</f>
        <v>0</v>
      </c>
      <c r="S55" s="109" t="s">
        <v>935</v>
      </c>
      <c r="T55" s="109">
        <f>(1+B28*0.2)*E28</f>
        <v>0.9</v>
      </c>
    </row>
    <row r="56" spans="1:20" x14ac:dyDescent="0.25">
      <c r="A56" s="109" t="s">
        <v>936</v>
      </c>
      <c r="B56" s="109">
        <f>Start!D29</f>
        <v>0</v>
      </c>
      <c r="D56" s="109" t="s">
        <v>937</v>
      </c>
      <c r="E56" s="109">
        <f>B55+B56</f>
        <v>0</v>
      </c>
      <c r="G56" s="109" t="s">
        <v>938</v>
      </c>
      <c r="H56" s="109">
        <f>IF(B56=0,0,1)</f>
        <v>0</v>
      </c>
      <c r="S56" s="109" t="s">
        <v>939</v>
      </c>
      <c r="T56" s="109">
        <f>(E28+0.9*B25)</f>
        <v>1</v>
      </c>
    </row>
    <row r="57" spans="1:20" x14ac:dyDescent="0.25">
      <c r="S57" s="109" t="s">
        <v>940</v>
      </c>
      <c r="T57" s="109">
        <f>(1+B28*0.8)*E28</f>
        <v>0.6</v>
      </c>
    </row>
    <row r="58" spans="1:20" x14ac:dyDescent="0.25">
      <c r="A58" s="109" t="s">
        <v>941</v>
      </c>
      <c r="B58" s="109">
        <f>SUM(Start!C27:'Start'!D29)</f>
        <v>0</v>
      </c>
      <c r="D58" s="109" t="s">
        <v>942</v>
      </c>
      <c r="E58" s="109">
        <f>IF(B58&gt;0,1,0)</f>
        <v>0</v>
      </c>
      <c r="S58" s="109" t="s">
        <v>943</v>
      </c>
      <c r="T58" s="109">
        <f>IF(B37&gt;0, 3,0)</f>
        <v>3</v>
      </c>
    </row>
    <row r="59" spans="1:20" x14ac:dyDescent="0.25">
      <c r="A59" s="109" t="s">
        <v>944</v>
      </c>
      <c r="B59" s="109">
        <f>SUM(Start!C25:'Start'!D29)</f>
        <v>1</v>
      </c>
      <c r="D59" s="109" t="s">
        <v>945</v>
      </c>
      <c r="K59" s="109">
        <f>B52+B53+B54+B56</f>
        <v>1</v>
      </c>
      <c r="S59" s="109" t="s">
        <v>946</v>
      </c>
      <c r="T59" s="109">
        <f>(1+0.4*D71)*E71</f>
        <v>0.84</v>
      </c>
    </row>
    <row r="60" spans="1:20" x14ac:dyDescent="0.25">
      <c r="D60" s="109" t="s">
        <v>947</v>
      </c>
      <c r="K60" s="109">
        <f>B52+B53</f>
        <v>1</v>
      </c>
    </row>
    <row r="61" spans="1:20" x14ac:dyDescent="0.25">
      <c r="S61" s="109" t="s">
        <v>948</v>
      </c>
      <c r="T61" s="109">
        <f>IF(B42&gt;0,1,0)</f>
        <v>0</v>
      </c>
    </row>
    <row r="62" spans="1:20" x14ac:dyDescent="0.25">
      <c r="A62" s="109" t="s">
        <v>949</v>
      </c>
      <c r="E62" s="109">
        <f>IF(B48&gt;0,1,0)</f>
        <v>0</v>
      </c>
      <c r="S62" s="109" t="s">
        <v>950</v>
      </c>
      <c r="T62" s="109">
        <f>IF(B46&gt;0,1,0)</f>
        <v>0</v>
      </c>
    </row>
    <row r="64" spans="1:20" x14ac:dyDescent="0.25">
      <c r="A64" s="109" t="s">
        <v>951</v>
      </c>
      <c r="B64" s="109">
        <f>IF(Start!D33&gt;0,1,0)</f>
        <v>0</v>
      </c>
      <c r="D64" s="109" t="s">
        <v>952</v>
      </c>
      <c r="E64" s="109">
        <f>IF(Start!D33&gt;1,1,0)</f>
        <v>0</v>
      </c>
      <c r="G64" s="109" t="s">
        <v>953</v>
      </c>
      <c r="H64" s="109">
        <f>IF(Start!D33=1,1,0)</f>
        <v>0</v>
      </c>
    </row>
    <row r="65" spans="1:11" x14ac:dyDescent="0.25">
      <c r="A65" s="109" t="s">
        <v>954</v>
      </c>
      <c r="B65" s="109">
        <f>((B52+B58)-1)/1</f>
        <v>-1</v>
      </c>
      <c r="E65" s="109">
        <f>IF(B65&gt;-1,1,0)</f>
        <v>0</v>
      </c>
    </row>
    <row r="66" spans="1:11" x14ac:dyDescent="0.25">
      <c r="A66" s="109" t="s">
        <v>955</v>
      </c>
      <c r="B66" s="109">
        <f>((B48+E48+B59+B64)-5)/5</f>
        <v>-0.4</v>
      </c>
      <c r="E66" s="109">
        <f>IF(B66&gt;-1,1,0)</f>
        <v>1</v>
      </c>
    </row>
    <row r="67" spans="1:11" x14ac:dyDescent="0.25">
      <c r="A67" s="109" t="s">
        <v>956</v>
      </c>
      <c r="E67" s="109">
        <f>IF(B48+E48+B58+B52&gt;0,1,0)</f>
        <v>1</v>
      </c>
      <c r="H67" s="109">
        <f>((B48+E48+B52+B58)-4)/4</f>
        <v>-0.5</v>
      </c>
      <c r="K67" s="109">
        <f>IF(H67&gt;-1,1,0)</f>
        <v>1</v>
      </c>
    </row>
    <row r="68" spans="1:11" x14ac:dyDescent="0.25">
      <c r="A68" s="109" t="s">
        <v>957</v>
      </c>
      <c r="B68" s="109">
        <f>SUM(Start!C15:'Start'!D19)+Start!C22+Start!D22+Start!D25+SUM(Start!D27:'Start'!D29)</f>
        <v>1</v>
      </c>
      <c r="E68" s="109">
        <f>IF(B68&gt;0,1,0)</f>
        <v>1</v>
      </c>
    </row>
    <row r="69" spans="1:11" x14ac:dyDescent="0.25">
      <c r="A69" s="109" t="s">
        <v>958</v>
      </c>
      <c r="B69" s="109">
        <f>SUM(Start!C15:'Start'!D19)+Start!C22+Start!D22+SUM(Start!D27:'Start'!D29)</f>
        <v>1</v>
      </c>
      <c r="E69" s="109">
        <f>IF(B69&gt;0, 1,0)</f>
        <v>1</v>
      </c>
    </row>
    <row r="70" spans="1:11" x14ac:dyDescent="0.25">
      <c r="A70" s="109" t="s">
        <v>959</v>
      </c>
      <c r="B70" s="109">
        <f>B48+E48+B52+B58</f>
        <v>2</v>
      </c>
      <c r="E70" s="109">
        <f>IF(B70&gt;0,1,0)</f>
        <v>1</v>
      </c>
      <c r="G70" s="109" t="s">
        <v>960</v>
      </c>
    </row>
    <row r="71" spans="1:11" x14ac:dyDescent="0.25">
      <c r="A71" s="109" t="s">
        <v>961</v>
      </c>
      <c r="B71" s="109">
        <f>B48+E48+B52+B53+B58</f>
        <v>3</v>
      </c>
      <c r="D71" s="109">
        <f>(B71-5)/5</f>
        <v>-0.4</v>
      </c>
      <c r="E71" s="109">
        <f>IF(B71&gt;0,1,0)</f>
        <v>1</v>
      </c>
    </row>
    <row r="72" spans="1:11" x14ac:dyDescent="0.25">
      <c r="A72" s="109" t="s">
        <v>962</v>
      </c>
      <c r="B72" s="109">
        <f>(Start!D33-3)/3</f>
        <v>-1</v>
      </c>
      <c r="E72" s="109">
        <f>IF(B72&gt;-1,1,0)</f>
        <v>0</v>
      </c>
    </row>
    <row r="73" spans="1:11" x14ac:dyDescent="0.25">
      <c r="A73" s="109" t="s">
        <v>963</v>
      </c>
      <c r="B73" s="109">
        <f>(Start!D32-1)/1</f>
        <v>-1</v>
      </c>
      <c r="E73" s="109">
        <f>IF(B73&gt;-1,1,0)</f>
        <v>0</v>
      </c>
    </row>
    <row r="74" spans="1:11" x14ac:dyDescent="0.25">
      <c r="A74" s="109" t="s">
        <v>964</v>
      </c>
      <c r="B74" s="109">
        <f>((B49+B50)-4)/4</f>
        <v>-0.5</v>
      </c>
      <c r="E74" s="109">
        <f>IF(B74&gt;-1,1,0)</f>
        <v>1</v>
      </c>
    </row>
    <row r="75" spans="1:11" x14ac:dyDescent="0.25">
      <c r="A75" s="109" t="s">
        <v>965</v>
      </c>
      <c r="B75" s="109">
        <f>((B48+E48+B54+B56)-4)/4</f>
        <v>-0.5</v>
      </c>
      <c r="E75" s="109">
        <f>IF(B75&gt;-1,1,0)</f>
        <v>1</v>
      </c>
    </row>
    <row r="76" spans="1:11" x14ac:dyDescent="0.25">
      <c r="A76" s="109" t="s">
        <v>966</v>
      </c>
      <c r="B76" s="109">
        <f>((SUM(B39:B46)-B44-B45)-3)/3</f>
        <v>-0.66666666666666663</v>
      </c>
      <c r="E76" s="109">
        <f>IF(B76&gt;-1,1,0)</f>
        <v>1</v>
      </c>
    </row>
  </sheetData>
  <sheetProtection sheet="1" objects="1" scenarios="1"/>
  <printOptions gridLines="1" gridLinesSet="0"/>
  <pageMargins left="0.75" right="0.75" top="1" bottom="1" header="0.5" footer="0.5"/>
  <pageSetup scale="63" fitToWidth="2" orientation="landscape" horizontalDpi="300" verticalDpi="300"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E53C00A83B00459279ADAEF9EDEB71" ma:contentTypeVersion="9" ma:contentTypeDescription="Create a new document." ma:contentTypeScope="" ma:versionID="036e69a814444b41d9e87f11e5a1c713">
  <xsd:schema xmlns:xsd="http://www.w3.org/2001/XMLSchema" xmlns:xs="http://www.w3.org/2001/XMLSchema" xmlns:p="http://schemas.microsoft.com/office/2006/metadata/properties" xmlns:ns2="6ddf65f4-5845-4ff3-b36d-740b032f905c" targetNamespace="http://schemas.microsoft.com/office/2006/metadata/properties" ma:root="true" ma:fieldsID="a1ceebcaba436f9b52bd015d49827feb" ns2:_="">
    <xsd:import namespace="6ddf65f4-5845-4ff3-b36d-740b032f9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df65f4-5845-4ff3-b36d-740b032f90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file>

<file path=customXml/itemProps1.xml><?xml version="1.0" encoding="utf-8"?>
<ds:datastoreItem xmlns:ds="http://schemas.openxmlformats.org/officeDocument/2006/customXml" ds:itemID="{B1C4C006-1C26-4522-8390-D5FB46EEEFED}"/>
</file>

<file path=customXml/itemProps2.xml><?xml version="1.0" encoding="utf-8"?>
<ds:datastoreItem xmlns:ds="http://schemas.openxmlformats.org/officeDocument/2006/customXml" ds:itemID="{8A9DBF58-D98C-4325-B821-2324C6F7D7C7}">
  <ds:schemaRefs>
    <ds:schemaRef ds:uri="http://schemas.microsoft.com/office/2006/metadata/properties"/>
    <ds:schemaRef ds:uri="http://schemas.microsoft.com/office/infopath/2007/PartnerControls"/>
    <ds:schemaRef ds:uri="17c9754c-faa1-4ee4-b8cf-70af81dd633a"/>
    <ds:schemaRef ds:uri="b3f49704-66dd-49f3-aa4a-e2de1681d982"/>
    <ds:schemaRef ds:uri="3f94263a-20bb-431b-b9e8-fae38d083436"/>
    <ds:schemaRef ds:uri="157bb656-fed6-4ead-9ce6-975c92a54292"/>
  </ds:schemaRefs>
</ds:datastoreItem>
</file>

<file path=customXml/itemProps3.xml><?xml version="1.0" encoding="utf-8"?>
<ds:datastoreItem xmlns:ds="http://schemas.openxmlformats.org/officeDocument/2006/customXml" ds:itemID="{75D0DF53-0033-45C4-A9DA-B12C4E88350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P035</vt:lpstr>
      <vt:lpstr>P039</vt:lpstr>
      <vt:lpstr>P040</vt:lpstr>
      <vt:lpstr>Ref Data-&gt;</vt:lpstr>
      <vt:lpstr>Cp Air</vt:lpstr>
      <vt:lpstr>CEMS Cost-&gt;</vt:lpstr>
      <vt:lpstr>Start</vt:lpstr>
      <vt:lpstr>V</vt:lpstr>
      <vt:lpstr>F</vt:lpstr>
      <vt:lpstr>Costs</vt:lpstr>
      <vt:lpstr>Activities</vt:lpstr>
      <vt:lpstr>Summary Info</vt:lpstr>
      <vt:lpstr>Activities!Print_Area</vt:lpstr>
      <vt:lpstr>Costs!Print_Area</vt:lpstr>
      <vt:lpstr>F!Print_Area</vt:lpstr>
      <vt:lpstr>'P035'!Print_Area</vt:lpstr>
      <vt:lpstr>'P039'!Print_Area</vt:lpstr>
      <vt:lpstr>'P040'!Print_Area</vt:lpstr>
      <vt:lpstr>Start!Print_Area</vt:lpstr>
      <vt:lpstr>V!Print_Area</vt:lpstr>
      <vt:lpstr>Activities!Print_Titles</vt:lpstr>
      <vt:lpstr>Costs!Print_Titles</vt:lpstr>
      <vt:lpstr>'P035'!Print_Titles</vt:lpstr>
      <vt:lpstr>'P039'!Print_Titles</vt:lpstr>
      <vt:lpstr>'P040'!Print_Titles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Hunter Haynie</dc:creator>
  <cp:keywords/>
  <dc:description/>
  <cp:lastModifiedBy>Lidya Bekele</cp:lastModifiedBy>
  <cp:revision/>
  <cp:lastPrinted>2023-07-21T19:05:04Z</cp:lastPrinted>
  <dcterms:created xsi:type="dcterms:W3CDTF">2012-03-16T16:43:51Z</dcterms:created>
  <dcterms:modified xsi:type="dcterms:W3CDTF">2023-08-02T13:15:28Z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25148836-7ec3-47d1-942b-e724e46bc6b5</vt:lpwstr>
  </property>
  <property fmtid="{D5CDD505-2E9C-101B-9397-08002B2CF9AE}" pid="3" name="ContentTypeId">
    <vt:lpwstr>0x010100C0E53C00A83B00459279ADAEF9EDEB71</vt:lpwstr>
  </property>
  <property fmtid="{D5CDD505-2E9C-101B-9397-08002B2CF9AE}" pid="4" name="Order">
    <vt:r8>100</vt:r8>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y fmtid="{D5CDD505-2E9C-101B-9397-08002B2CF9AE}" pid="11" name="MediaServiceImageTags">
    <vt:lpwstr/>
  </property>
</Properties>
</file>