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drawings/drawing9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abbas_05-2022\Projects\Construction ROC\Task 01_JMF Packets\09-Example Packets\301\"/>
    </mc:Choice>
  </mc:AlternateContent>
  <xr:revisionPtr revIDLastSave="0" documentId="13_ncr:1_{62D8E2B2-699A-479C-821E-955B0968922A}" xr6:coauthVersionLast="47" xr6:coauthVersionMax="47" xr10:uidLastSave="{00000000-0000-0000-0000-000000000000}"/>
  <workbookProtection workbookAlgorithmName="SHA-512" workbookHashValue="dKoHQGEge7I0HprpCeDI3EWPB5Aw1ythKnZcuZwVlODRbNkWD4JjL+FwJZ3GWRzTotPBg6JETplJhZTjZ/07kQ==" workbookSaltValue="L4C2LqYsiJCagIXmLg7t/Q==" workbookSpinCount="100000" lockStructure="1"/>
  <bookViews>
    <workbookView xWindow="-110" yWindow="-110" windowWidth="19420" windowHeight="10300" tabRatio="920" xr2:uid="{00000000-000D-0000-FFFF-FFFF00000000}"/>
  </bookViews>
  <sheets>
    <sheet name="GETTING STARTED" sheetId="60" r:id="rId1"/>
    <sheet name="TRANS. COV." sheetId="19" r:id="rId2"/>
    <sheet name="JMF SHEET PG 1" sheetId="20" r:id="rId3"/>
    <sheet name="JMF SHEET PG 2" sheetId="62" r:id="rId4"/>
    <sheet name="AGG BLEND" sheetId="3" r:id="rId5"/>
    <sheet name="RAP 1" sheetId="10" r:id="rId6"/>
    <sheet name="RAP 2" sheetId="34" r:id="rId7"/>
    <sheet name="RAP 3" sheetId="35" r:id="rId8"/>
    <sheet name="0.45 GRAPH" sheetId="5" r:id="rId9"/>
    <sheet name="RAP BLENDING" sheetId="86" r:id="rId10"/>
    <sheet name="RAP MSG" sheetId="6" r:id="rId11"/>
    <sheet name="AWP" sheetId="91" r:id="rId12"/>
    <sheet name="301 Spec_New_Table" sheetId="83" state="hidden" r:id="rId13"/>
    <sheet name="ODOT Districts and Counties" sheetId="55" state="hidden" r:id="rId14"/>
    <sheet name="Asphalt Mix Producers" sheetId="40" state="hidden" r:id="rId15"/>
    <sheet name="Asphalt Plants" sheetId="56" state="hidden" r:id="rId16"/>
    <sheet name="Aggregate Sources" sheetId="78" state="hidden" r:id="rId17"/>
    <sheet name="2024 ODOT Gsb" sheetId="88" state="hidden" r:id="rId18"/>
    <sheet name="Binder PG Grades" sheetId="54" state="hidden" r:id="rId19"/>
    <sheet name="Binder Sources" sheetId="39" state="hidden" r:id="rId20"/>
    <sheet name="Fibers Sources" sheetId="59" state="hidden" r:id="rId21"/>
  </sheets>
  <definedNames>
    <definedName name="_01">'ODOT Districts and Counties'!$B$2:$B$9</definedName>
    <definedName name="_02">'ODOT Districts and Counties'!$C$2:$C$9</definedName>
    <definedName name="_03">'ODOT Districts and Counties'!$D$2:$D$9</definedName>
    <definedName name="_04">'ODOT Districts and Counties'!$E$2:$E$7</definedName>
    <definedName name="_05">'ODOT Districts and Counties'!$F$2:$F$8</definedName>
    <definedName name="_06">'ODOT Districts and Counties'!$G$2:$G$9</definedName>
    <definedName name="_07">'ODOT Districts and Counties'!$H$2:$H$10</definedName>
    <definedName name="_08">'ODOT Districts and Counties'!$I$2:$I$8</definedName>
    <definedName name="_09">'ODOT Districts and Counties'!$J$2:$J$9</definedName>
    <definedName name="_10">'ODOT Districts and Counties'!$K$2:$K$10</definedName>
    <definedName name="_11">'ODOT Districts and Counties'!$L$2:$L$8</definedName>
    <definedName name="_12">'ODOT Districts and Counties'!$M$2:$M$4</definedName>
    <definedName name="_xlnm._FilterDatabase" localSheetId="17" hidden="1">'2024 ODOT Gsb'!$A$1:$F$983</definedName>
    <definedName name="_xlnm._FilterDatabase" localSheetId="16" hidden="1">'Aggregate Sources'!$A$1:$E$447</definedName>
    <definedName name="_xlnm._FilterDatabase" localSheetId="15" hidden="1">'Asphalt Plants'!$A$1:$B$148</definedName>
    <definedName name="_xlnm._FilterDatabase" localSheetId="13" hidden="1">'ODOT Districts and Counties'!$A$1:$A$99</definedName>
    <definedName name="_xlnm.Print_Area" localSheetId="8">'0.45 GRAPH'!$A$1:$M$44</definedName>
    <definedName name="_xlnm.Print_Area" localSheetId="4">'AGG BLEND'!$A$1:$AG$38</definedName>
    <definedName name="_xlnm.Print_Area" localSheetId="11">AWP!$A$1:$AO$143</definedName>
    <definedName name="_xlnm.Print_Area" localSheetId="0">'GETTING STARTED'!$A$4:$M$18</definedName>
    <definedName name="_xlnm.Print_Area" localSheetId="2">'JMF SHEET PG 1'!$A$1:$AO$76</definedName>
    <definedName name="_xlnm.Print_Area" localSheetId="3">'JMF SHEET PG 2'!$A$1:$AO$58</definedName>
    <definedName name="_xlnm.Print_Area" localSheetId="5">'RAP 1'!$A$1:$J$64</definedName>
    <definedName name="_xlnm.Print_Area" localSheetId="6">'RAP 2'!$A$1:$J$64</definedName>
    <definedName name="_xlnm.Print_Area" localSheetId="7">'RAP 3'!$A$1:$J$64</definedName>
    <definedName name="_xlnm.Print_Area" localSheetId="9">'RAP BLENDING'!$A$1:$Q$49</definedName>
    <definedName name="_xlnm.Print_Area" localSheetId="10">'RAP MSG'!$A$1:$G$45</definedName>
    <definedName name="_xlnm.Print_Area" localSheetId="1">'TRANS. COV.'!$A$1:$AO$73</definedName>
    <definedName name="Traffic_251" localSheetId="11">#REF!</definedName>
    <definedName name="Traffic_251">#REF!</definedName>
    <definedName name="Traffic_252" localSheetId="11">#REF!</definedName>
    <definedName name="Traffic_252">#REF!</definedName>
    <definedName name="Traffic_253" localSheetId="11">#REF!</definedName>
    <definedName name="Traffic_253">#REF!</definedName>
    <definedName name="Traffic_254" localSheetId="11">#REF!</definedName>
    <definedName name="Traffic_254">#REF!</definedName>
    <definedName name="Traffic_441" localSheetId="11">#REF!</definedName>
    <definedName name="Traffic_441">#REF!</definedName>
    <definedName name="Traffic_451" localSheetId="11">#REF!</definedName>
    <definedName name="Traffic_451">#REF!</definedName>
    <definedName name="Traffic_608" localSheetId="11">#REF!</definedName>
    <definedName name="Traffic_608">#REF!</definedName>
    <definedName name="Traffic_609" localSheetId="11">#REF!</definedName>
    <definedName name="Traffic_609">#REF!</definedName>
    <definedName name="Traffic_614" localSheetId="11">#REF!</definedName>
    <definedName name="Traffic_614">#REF!</definedName>
    <definedName name="Traffic_615" localSheetId="11">#REF!</definedName>
    <definedName name="Traffic_615">#REF!</definedName>
    <definedName name="Traffic_625" localSheetId="11">#REF!</definedName>
    <definedName name="Traffic_625">#REF!</definedName>
    <definedName name="Traffic_806" localSheetId="11">#REF!</definedName>
    <definedName name="Traffic_806">#REF!</definedName>
    <definedName name="Traffic_823" localSheetId="11">#REF!</definedName>
    <definedName name="Traffic_823">#REF!</definedName>
    <definedName name="Traffic_826" localSheetId="11">#REF!</definedName>
    <definedName name="Traffic_826">#REF!</definedName>
    <definedName name="Traffic_857" localSheetId="11">#REF!</definedName>
    <definedName name="Traffic_857">#REF!</definedName>
    <definedName name="Traffic_859" localSheetId="11">#REF!</definedName>
    <definedName name="Traffic_859">#REF!</definedName>
    <definedName name="Traffic_880" localSheetId="11">#REF!</definedName>
    <definedName name="Traffic_880">#REF!</definedName>
    <definedName name="Traffic_List_All" localSheetId="11">#REF!</definedName>
    <definedName name="Traffic_List_Al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5" i="88" l="1"/>
  <c r="C986" i="88"/>
  <c r="C987" i="88"/>
  <c r="C988" i="88"/>
  <c r="C984" i="88"/>
  <c r="H88" i="91" l="1"/>
  <c r="H83" i="91"/>
  <c r="H70" i="91"/>
  <c r="H59" i="91"/>
  <c r="H54" i="91"/>
  <c r="M118" i="91" l="1"/>
  <c r="H116" i="91" l="1"/>
  <c r="M116" i="91"/>
  <c r="H124" i="91"/>
  <c r="W122" i="91"/>
  <c r="M122" i="91"/>
  <c r="H122" i="91"/>
  <c r="M112" i="91" l="1"/>
  <c r="H112" i="91"/>
  <c r="H110" i="91"/>
  <c r="M107" i="91"/>
  <c r="H107" i="91"/>
  <c r="H105" i="91"/>
  <c r="M90" i="91"/>
  <c r="H90" i="91"/>
  <c r="S88" i="91"/>
  <c r="M88" i="91"/>
  <c r="M85" i="91"/>
  <c r="H85" i="91"/>
  <c r="S83" i="91"/>
  <c r="M83" i="91"/>
  <c r="M72" i="91"/>
  <c r="H72" i="91"/>
  <c r="S70" i="91"/>
  <c r="M70" i="91"/>
  <c r="M61" i="91"/>
  <c r="H61" i="91"/>
  <c r="S59" i="91"/>
  <c r="M59" i="91"/>
  <c r="M56" i="91"/>
  <c r="H56" i="91"/>
  <c r="S54" i="91"/>
  <c r="M54" i="91"/>
  <c r="J39" i="91"/>
  <c r="J38" i="91"/>
  <c r="J37" i="91"/>
  <c r="J36" i="91"/>
  <c r="J35" i="91"/>
  <c r="J34" i="91"/>
  <c r="AH33" i="91"/>
  <c r="AH32" i="91"/>
  <c r="AH31" i="91"/>
  <c r="AH30" i="91"/>
  <c r="AH27" i="91"/>
  <c r="J26" i="91"/>
  <c r="J21" i="91"/>
  <c r="S19" i="91"/>
  <c r="S18" i="91"/>
  <c r="S17" i="91"/>
  <c r="J11" i="91"/>
  <c r="J10" i="91"/>
  <c r="J9" i="91"/>
  <c r="F20" i="6" l="1"/>
  <c r="D20" i="6"/>
  <c r="G14" i="6"/>
  <c r="C51" i="83" l="1"/>
  <c r="C80" i="83"/>
  <c r="AM36" i="3"/>
  <c r="AM35" i="3"/>
  <c r="AM34" i="3"/>
  <c r="AM33" i="3"/>
  <c r="AM32" i="3"/>
  <c r="AM31" i="3"/>
  <c r="AM30" i="3"/>
  <c r="AM29" i="3"/>
  <c r="AM28" i="3"/>
  <c r="AM27" i="3"/>
  <c r="AM26" i="3"/>
  <c r="AM25" i="3"/>
  <c r="AM24" i="3"/>
  <c r="U36" i="86" l="1"/>
  <c r="T36" i="86"/>
  <c r="U35" i="86"/>
  <c r="T35" i="86"/>
  <c r="T31" i="86"/>
  <c r="T29" i="86"/>
  <c r="U26" i="86"/>
  <c r="T26" i="86"/>
  <c r="U25" i="86"/>
  <c r="T25" i="86"/>
  <c r="T21" i="86"/>
  <c r="T19" i="86"/>
  <c r="AM26" i="62"/>
  <c r="AM25" i="62"/>
  <c r="AM24" i="62"/>
  <c r="AM23" i="62"/>
  <c r="AM15" i="62"/>
  <c r="AM18" i="62"/>
  <c r="AM17" i="62"/>
  <c r="AM16" i="62"/>
  <c r="Z26" i="62"/>
  <c r="Z25" i="62"/>
  <c r="Z24" i="62"/>
  <c r="Z23" i="62"/>
  <c r="Z18" i="62"/>
  <c r="Z17" i="62"/>
  <c r="Z16" i="62"/>
  <c r="Z15" i="62"/>
  <c r="H26" i="62"/>
  <c r="H25" i="62"/>
  <c r="H24" i="62"/>
  <c r="H23" i="62"/>
  <c r="H18" i="62"/>
  <c r="H17" i="62"/>
  <c r="H16" i="62"/>
  <c r="H15" i="62"/>
  <c r="AD42" i="62" l="1"/>
  <c r="E47" i="20"/>
  <c r="J135" i="91" s="1"/>
  <c r="E48" i="20"/>
  <c r="J136" i="91" s="1"/>
  <c r="E49" i="20"/>
  <c r="J137" i="91" s="1"/>
  <c r="E46" i="20"/>
  <c r="J134" i="91" s="1"/>
  <c r="L13" i="86" l="1"/>
  <c r="O42" i="86" l="1"/>
  <c r="K42" i="86"/>
  <c r="C45" i="86"/>
  <c r="C43" i="86"/>
  <c r="C41" i="86"/>
  <c r="Q15" i="3"/>
  <c r="O15" i="3"/>
  <c r="M15" i="3"/>
  <c r="K15" i="3"/>
  <c r="C47" i="86" l="1"/>
  <c r="S36" i="86"/>
  <c r="S35" i="86"/>
  <c r="S26" i="86"/>
  <c r="S25" i="86"/>
  <c r="C84" i="83"/>
  <c r="U55" i="19"/>
  <c r="J19" i="91" s="1"/>
  <c r="U52" i="19"/>
  <c r="J18" i="91" s="1"/>
  <c r="U47" i="19"/>
  <c r="J17" i="91" s="1"/>
  <c r="C13" i="60"/>
  <c r="T30" i="86" l="1"/>
  <c r="T20" i="86"/>
  <c r="O44" i="86"/>
  <c r="K44" i="86"/>
  <c r="A15" i="62"/>
  <c r="A16" i="62"/>
  <c r="C26" i="6"/>
  <c r="AA21" i="3"/>
  <c r="V36" i="86" l="1"/>
  <c r="U29" i="86"/>
  <c r="V35" i="86"/>
  <c r="U30" i="86"/>
  <c r="L46" i="86"/>
  <c r="U19" i="86"/>
  <c r="U21" i="86" s="1"/>
  <c r="V26" i="86"/>
  <c r="V25" i="86"/>
  <c r="U20" i="86"/>
  <c r="A27" i="6"/>
  <c r="H49" i="91"/>
  <c r="H51" i="91"/>
  <c r="M51" i="91"/>
  <c r="S49" i="91"/>
  <c r="M49" i="91"/>
  <c r="J42" i="62"/>
  <c r="H44" i="91"/>
  <c r="M46" i="91"/>
  <c r="H46" i="91"/>
  <c r="M44" i="91"/>
  <c r="S44" i="91"/>
  <c r="AM42" i="62"/>
  <c r="T42" i="62"/>
  <c r="A26" i="6"/>
  <c r="B26" i="6"/>
  <c r="E26" i="6" s="1"/>
  <c r="C983" i="88"/>
  <c r="C982" i="88"/>
  <c r="C981" i="88"/>
  <c r="C980" i="88"/>
  <c r="C979" i="88"/>
  <c r="C978" i="88"/>
  <c r="C977" i="88"/>
  <c r="C976" i="88"/>
  <c r="C975" i="88"/>
  <c r="C974" i="88"/>
  <c r="C973" i="88"/>
  <c r="C972" i="88"/>
  <c r="C971" i="88"/>
  <c r="C970" i="88"/>
  <c r="C969" i="88"/>
  <c r="C968" i="88"/>
  <c r="C967" i="88"/>
  <c r="C966" i="88"/>
  <c r="C965" i="88"/>
  <c r="C964" i="88"/>
  <c r="C963" i="88"/>
  <c r="C962" i="88"/>
  <c r="C961" i="88"/>
  <c r="C960" i="88"/>
  <c r="C959" i="88"/>
  <c r="C958" i="88"/>
  <c r="C957" i="88"/>
  <c r="C956" i="88"/>
  <c r="C955" i="88"/>
  <c r="C954" i="88"/>
  <c r="C953" i="88"/>
  <c r="C952" i="88"/>
  <c r="C951" i="88"/>
  <c r="C950" i="88"/>
  <c r="C949" i="88"/>
  <c r="C948" i="88"/>
  <c r="C947" i="88"/>
  <c r="C946" i="88"/>
  <c r="C945" i="88"/>
  <c r="C944" i="88"/>
  <c r="C943" i="88"/>
  <c r="C942" i="88"/>
  <c r="C941" i="88"/>
  <c r="C940" i="88"/>
  <c r="C939" i="88"/>
  <c r="C938" i="88"/>
  <c r="C937" i="88"/>
  <c r="C936" i="88"/>
  <c r="C935" i="88"/>
  <c r="C934" i="88"/>
  <c r="C933" i="88"/>
  <c r="C932" i="88"/>
  <c r="C931" i="88"/>
  <c r="C930" i="88"/>
  <c r="C929" i="88"/>
  <c r="C928" i="88"/>
  <c r="C927" i="88"/>
  <c r="C926" i="88"/>
  <c r="C925" i="88"/>
  <c r="C924" i="88"/>
  <c r="C923" i="88"/>
  <c r="C922" i="88"/>
  <c r="C921" i="88"/>
  <c r="C920" i="88"/>
  <c r="C919" i="88"/>
  <c r="C918" i="88"/>
  <c r="C917" i="88"/>
  <c r="C916" i="88"/>
  <c r="C915" i="88"/>
  <c r="C914" i="88"/>
  <c r="C913" i="88"/>
  <c r="C912" i="88"/>
  <c r="C911" i="88"/>
  <c r="C910" i="88"/>
  <c r="C909" i="88"/>
  <c r="C908" i="88"/>
  <c r="C907" i="88"/>
  <c r="C906" i="88"/>
  <c r="C905" i="88"/>
  <c r="C904" i="88"/>
  <c r="C903" i="88"/>
  <c r="C902" i="88"/>
  <c r="C901" i="88"/>
  <c r="C900" i="88"/>
  <c r="C899" i="88"/>
  <c r="C898" i="88"/>
  <c r="C897" i="88"/>
  <c r="C896" i="88"/>
  <c r="C895" i="88"/>
  <c r="C894" i="88"/>
  <c r="C893" i="88"/>
  <c r="C892" i="88"/>
  <c r="C891" i="88"/>
  <c r="C890" i="88"/>
  <c r="C889" i="88"/>
  <c r="C888" i="88"/>
  <c r="C887" i="88"/>
  <c r="C886" i="88"/>
  <c r="C885" i="88"/>
  <c r="C884" i="88"/>
  <c r="C883" i="88"/>
  <c r="C882" i="88"/>
  <c r="C881" i="88"/>
  <c r="C880" i="88"/>
  <c r="C879" i="88"/>
  <c r="C878" i="88"/>
  <c r="C877" i="88"/>
  <c r="C876" i="88"/>
  <c r="C875" i="88"/>
  <c r="C874" i="88"/>
  <c r="C873" i="88"/>
  <c r="C872" i="88"/>
  <c r="C871" i="88"/>
  <c r="C870" i="88"/>
  <c r="C869" i="88"/>
  <c r="C868" i="88"/>
  <c r="C867" i="88"/>
  <c r="C866" i="88"/>
  <c r="C865" i="88"/>
  <c r="C864" i="88"/>
  <c r="C863" i="88"/>
  <c r="C862" i="88"/>
  <c r="C861" i="88"/>
  <c r="C860" i="88"/>
  <c r="C859" i="88"/>
  <c r="C858" i="88"/>
  <c r="C857" i="88"/>
  <c r="C856" i="88"/>
  <c r="C855" i="88"/>
  <c r="C854" i="88"/>
  <c r="C853" i="88"/>
  <c r="C852" i="88"/>
  <c r="C851" i="88"/>
  <c r="C850" i="88"/>
  <c r="C849" i="88"/>
  <c r="C848" i="88"/>
  <c r="C847" i="88"/>
  <c r="C846" i="88"/>
  <c r="C845" i="88"/>
  <c r="C844" i="88"/>
  <c r="C843" i="88"/>
  <c r="C842" i="88"/>
  <c r="C841" i="88"/>
  <c r="C840" i="88"/>
  <c r="C839" i="88"/>
  <c r="C838" i="88"/>
  <c r="C837" i="88"/>
  <c r="C836" i="88"/>
  <c r="C835" i="88"/>
  <c r="C834" i="88"/>
  <c r="C833" i="88"/>
  <c r="C832" i="88"/>
  <c r="C831" i="88"/>
  <c r="C830" i="88"/>
  <c r="C829" i="88"/>
  <c r="C828" i="88"/>
  <c r="C827" i="88"/>
  <c r="C826" i="88"/>
  <c r="C825" i="88"/>
  <c r="C824" i="88"/>
  <c r="C823" i="88"/>
  <c r="C822" i="88"/>
  <c r="C821" i="88"/>
  <c r="C820" i="88"/>
  <c r="C819" i="88"/>
  <c r="C818" i="88"/>
  <c r="C817" i="88"/>
  <c r="C816" i="88"/>
  <c r="C815" i="88"/>
  <c r="C814" i="88"/>
  <c r="C813" i="88"/>
  <c r="C812" i="88"/>
  <c r="C811" i="88"/>
  <c r="C810" i="88"/>
  <c r="C809" i="88"/>
  <c r="C808" i="88"/>
  <c r="C807" i="88"/>
  <c r="C806" i="88"/>
  <c r="C805" i="88"/>
  <c r="C804" i="88"/>
  <c r="C803" i="88"/>
  <c r="C802" i="88"/>
  <c r="C801" i="88"/>
  <c r="C800" i="88"/>
  <c r="C799" i="88"/>
  <c r="C798" i="88"/>
  <c r="C797" i="88"/>
  <c r="C796" i="88"/>
  <c r="C795" i="88"/>
  <c r="C794" i="88"/>
  <c r="C793" i="88"/>
  <c r="C792" i="88"/>
  <c r="C791" i="88"/>
  <c r="C790" i="88"/>
  <c r="C789" i="88"/>
  <c r="C788" i="88"/>
  <c r="C787" i="88"/>
  <c r="C786" i="88"/>
  <c r="C785" i="88"/>
  <c r="C784" i="88"/>
  <c r="C783" i="88"/>
  <c r="C782" i="88"/>
  <c r="C781" i="88"/>
  <c r="C780" i="88"/>
  <c r="C779" i="88"/>
  <c r="C778" i="88"/>
  <c r="C777" i="88"/>
  <c r="C776" i="88"/>
  <c r="C775" i="88"/>
  <c r="C774" i="88"/>
  <c r="C773" i="88"/>
  <c r="C772" i="88"/>
  <c r="C771" i="88"/>
  <c r="C770" i="88"/>
  <c r="C769" i="88"/>
  <c r="C768" i="88"/>
  <c r="C767" i="88"/>
  <c r="C766" i="88"/>
  <c r="C765" i="88"/>
  <c r="C764" i="88"/>
  <c r="C763" i="88"/>
  <c r="C762" i="88"/>
  <c r="C761" i="88"/>
  <c r="C760" i="88"/>
  <c r="C759" i="88"/>
  <c r="C758" i="88"/>
  <c r="C757" i="88"/>
  <c r="C756" i="88"/>
  <c r="C755" i="88"/>
  <c r="C754" i="88"/>
  <c r="C753" i="88"/>
  <c r="C752" i="88"/>
  <c r="C751" i="88"/>
  <c r="C750" i="88"/>
  <c r="C749" i="88"/>
  <c r="C748" i="88"/>
  <c r="C747" i="88"/>
  <c r="C746" i="88"/>
  <c r="C745" i="88"/>
  <c r="C744" i="88"/>
  <c r="C743" i="88"/>
  <c r="C742" i="88"/>
  <c r="C741" i="88"/>
  <c r="C740" i="88"/>
  <c r="C739" i="88"/>
  <c r="C738" i="88"/>
  <c r="C737" i="88"/>
  <c r="C736" i="88"/>
  <c r="C735" i="88"/>
  <c r="C734" i="88"/>
  <c r="C733" i="88"/>
  <c r="C732" i="88"/>
  <c r="C731" i="88"/>
  <c r="C730" i="88"/>
  <c r="C729" i="88"/>
  <c r="C728" i="88"/>
  <c r="C727" i="88"/>
  <c r="C726" i="88"/>
  <c r="C725" i="88"/>
  <c r="C724" i="88"/>
  <c r="C723" i="88"/>
  <c r="C722" i="88"/>
  <c r="C721" i="88"/>
  <c r="C720" i="88"/>
  <c r="C719" i="88"/>
  <c r="C718" i="88"/>
  <c r="C717" i="88"/>
  <c r="C716" i="88"/>
  <c r="C715" i="88"/>
  <c r="C714" i="88"/>
  <c r="C713" i="88"/>
  <c r="C712" i="88"/>
  <c r="C711" i="88"/>
  <c r="C710" i="88"/>
  <c r="C709" i="88"/>
  <c r="C708" i="88"/>
  <c r="C707" i="88"/>
  <c r="C706" i="88"/>
  <c r="C705" i="88"/>
  <c r="C704" i="88"/>
  <c r="C703" i="88"/>
  <c r="C702" i="88"/>
  <c r="C701" i="88"/>
  <c r="C700" i="88"/>
  <c r="C699" i="88"/>
  <c r="C698" i="88"/>
  <c r="C697" i="88"/>
  <c r="C696" i="88"/>
  <c r="C695" i="88"/>
  <c r="C694" i="88"/>
  <c r="C693" i="88"/>
  <c r="C692" i="88"/>
  <c r="C691" i="88"/>
  <c r="C690" i="88"/>
  <c r="C689" i="88"/>
  <c r="C688" i="88"/>
  <c r="C687" i="88"/>
  <c r="C686" i="88"/>
  <c r="C685" i="88"/>
  <c r="C684" i="88"/>
  <c r="C683" i="88"/>
  <c r="C682" i="88"/>
  <c r="C681" i="88"/>
  <c r="C680" i="88"/>
  <c r="C679" i="88"/>
  <c r="C678" i="88"/>
  <c r="C677" i="88"/>
  <c r="C676" i="88"/>
  <c r="C675" i="88"/>
  <c r="C674" i="88"/>
  <c r="C673" i="88"/>
  <c r="C672" i="88"/>
  <c r="C671" i="88"/>
  <c r="C670" i="88"/>
  <c r="C669" i="88"/>
  <c r="C668" i="88"/>
  <c r="C667" i="88"/>
  <c r="C666" i="88"/>
  <c r="C665" i="88"/>
  <c r="C664" i="88"/>
  <c r="C663" i="88"/>
  <c r="C662" i="88"/>
  <c r="C661" i="88"/>
  <c r="C660" i="88"/>
  <c r="C659" i="88"/>
  <c r="C658" i="88"/>
  <c r="C657" i="88"/>
  <c r="C656" i="88"/>
  <c r="C655" i="88"/>
  <c r="C654" i="88"/>
  <c r="C653" i="88"/>
  <c r="C652" i="88"/>
  <c r="C651" i="88"/>
  <c r="C650" i="88"/>
  <c r="C649" i="88"/>
  <c r="C648" i="88"/>
  <c r="C647" i="88"/>
  <c r="C646" i="88"/>
  <c r="C645" i="88"/>
  <c r="C644" i="88"/>
  <c r="C643" i="88"/>
  <c r="C642" i="88"/>
  <c r="C641" i="88"/>
  <c r="C640" i="88"/>
  <c r="C639" i="88"/>
  <c r="C638" i="88"/>
  <c r="C637" i="88"/>
  <c r="C636" i="88"/>
  <c r="C635" i="88"/>
  <c r="C634" i="88"/>
  <c r="C633" i="88"/>
  <c r="C632" i="88"/>
  <c r="C631" i="88"/>
  <c r="C630" i="88"/>
  <c r="C629" i="88"/>
  <c r="C628" i="88"/>
  <c r="C627" i="88"/>
  <c r="C626" i="88"/>
  <c r="C625" i="88"/>
  <c r="C624" i="88"/>
  <c r="C623" i="88"/>
  <c r="C622" i="88"/>
  <c r="C621" i="88"/>
  <c r="C620" i="88"/>
  <c r="C619" i="88"/>
  <c r="C618" i="88"/>
  <c r="C617" i="88"/>
  <c r="C616" i="88"/>
  <c r="C615" i="88"/>
  <c r="C614" i="88"/>
  <c r="C613" i="88"/>
  <c r="C612" i="88"/>
  <c r="C611" i="88"/>
  <c r="C610" i="88"/>
  <c r="C609" i="88"/>
  <c r="C608" i="88"/>
  <c r="C607" i="88"/>
  <c r="C606" i="88"/>
  <c r="C605" i="88"/>
  <c r="C604" i="88"/>
  <c r="C603" i="88"/>
  <c r="C602" i="88"/>
  <c r="C601" i="88"/>
  <c r="C600" i="88"/>
  <c r="C599" i="88"/>
  <c r="C598" i="88"/>
  <c r="C597" i="88"/>
  <c r="C596" i="88"/>
  <c r="C595" i="88"/>
  <c r="C594" i="88"/>
  <c r="C593" i="88"/>
  <c r="C592" i="88"/>
  <c r="C591" i="88"/>
  <c r="C590" i="88"/>
  <c r="C589" i="88"/>
  <c r="C588" i="88"/>
  <c r="C587" i="88"/>
  <c r="C586" i="88"/>
  <c r="C585" i="88"/>
  <c r="C584" i="88"/>
  <c r="C583" i="88"/>
  <c r="C582" i="88"/>
  <c r="C581" i="88"/>
  <c r="C580" i="88"/>
  <c r="C579" i="88"/>
  <c r="C578" i="88"/>
  <c r="C577" i="88"/>
  <c r="C576" i="88"/>
  <c r="C575" i="88"/>
  <c r="C574" i="88"/>
  <c r="C573" i="88"/>
  <c r="C572" i="88"/>
  <c r="C571" i="88"/>
  <c r="C570" i="88"/>
  <c r="C569" i="88"/>
  <c r="C568" i="88"/>
  <c r="C567" i="88"/>
  <c r="C566" i="88"/>
  <c r="C565" i="88"/>
  <c r="C564" i="88"/>
  <c r="C563" i="88"/>
  <c r="C562" i="88"/>
  <c r="C561" i="88"/>
  <c r="C560" i="88"/>
  <c r="C559" i="88"/>
  <c r="C558" i="88"/>
  <c r="C557" i="88"/>
  <c r="C556" i="88"/>
  <c r="C555" i="88"/>
  <c r="C554" i="88"/>
  <c r="C553" i="88"/>
  <c r="C552" i="88"/>
  <c r="C551" i="88"/>
  <c r="C550" i="88"/>
  <c r="C549" i="88"/>
  <c r="C548" i="88"/>
  <c r="C547" i="88"/>
  <c r="C546" i="88"/>
  <c r="C545" i="88"/>
  <c r="C544" i="88"/>
  <c r="C543" i="88"/>
  <c r="C542" i="88"/>
  <c r="C541" i="88"/>
  <c r="C540" i="88"/>
  <c r="C539" i="88"/>
  <c r="C538" i="88"/>
  <c r="C537" i="88"/>
  <c r="C536" i="88"/>
  <c r="C535" i="88"/>
  <c r="C534" i="88"/>
  <c r="C533" i="88"/>
  <c r="C532" i="88"/>
  <c r="C531" i="88"/>
  <c r="C530" i="88"/>
  <c r="C529" i="88"/>
  <c r="C528" i="88"/>
  <c r="C527" i="88"/>
  <c r="C526" i="88"/>
  <c r="C525" i="88"/>
  <c r="C524" i="88"/>
  <c r="C523" i="88"/>
  <c r="C522" i="88"/>
  <c r="C521" i="88"/>
  <c r="C520" i="88"/>
  <c r="C519" i="88"/>
  <c r="C518" i="88"/>
  <c r="C517" i="88"/>
  <c r="C516" i="88"/>
  <c r="C515" i="88"/>
  <c r="C514" i="88"/>
  <c r="C513" i="88"/>
  <c r="C512" i="88"/>
  <c r="C511" i="88"/>
  <c r="C510" i="88"/>
  <c r="C509" i="88"/>
  <c r="C508" i="88"/>
  <c r="C507" i="88"/>
  <c r="C506" i="88"/>
  <c r="C505" i="88"/>
  <c r="C504" i="88"/>
  <c r="C503" i="88"/>
  <c r="C502" i="88"/>
  <c r="C501" i="88"/>
  <c r="C500" i="88"/>
  <c r="C499" i="88"/>
  <c r="C498" i="88"/>
  <c r="C497" i="88"/>
  <c r="C496" i="88"/>
  <c r="C495" i="88"/>
  <c r="C494" i="88"/>
  <c r="C493" i="88"/>
  <c r="C492" i="88"/>
  <c r="C491" i="88"/>
  <c r="C490" i="88"/>
  <c r="C489" i="88"/>
  <c r="C488" i="88"/>
  <c r="C487" i="88"/>
  <c r="C486" i="88"/>
  <c r="C485" i="88"/>
  <c r="C484" i="88"/>
  <c r="C483" i="88"/>
  <c r="C482" i="88"/>
  <c r="C481" i="88"/>
  <c r="C480" i="88"/>
  <c r="C479" i="88"/>
  <c r="C478" i="88"/>
  <c r="C477" i="88"/>
  <c r="C476" i="88"/>
  <c r="C475" i="88"/>
  <c r="C474" i="88"/>
  <c r="C473" i="88"/>
  <c r="C472" i="88"/>
  <c r="C471" i="88"/>
  <c r="C470" i="88"/>
  <c r="C469" i="88"/>
  <c r="C468" i="88"/>
  <c r="C467" i="88"/>
  <c r="C466" i="88"/>
  <c r="C465" i="88"/>
  <c r="C464" i="88"/>
  <c r="C463" i="88"/>
  <c r="C462" i="88"/>
  <c r="C461" i="88"/>
  <c r="C460" i="88"/>
  <c r="C459" i="88"/>
  <c r="C458" i="88"/>
  <c r="C457" i="88"/>
  <c r="C456" i="88"/>
  <c r="C455" i="88"/>
  <c r="C454" i="88"/>
  <c r="C453" i="88"/>
  <c r="C452" i="88"/>
  <c r="C451" i="88"/>
  <c r="C450" i="88"/>
  <c r="C449" i="88"/>
  <c r="C448" i="88"/>
  <c r="C447" i="88"/>
  <c r="C446" i="88"/>
  <c r="C445" i="88"/>
  <c r="C444" i="88"/>
  <c r="C443" i="88"/>
  <c r="C442" i="88"/>
  <c r="C441" i="88"/>
  <c r="C440" i="88"/>
  <c r="C439" i="88"/>
  <c r="C438" i="88"/>
  <c r="C437" i="88"/>
  <c r="C436" i="88"/>
  <c r="C435" i="88"/>
  <c r="C434" i="88"/>
  <c r="C433" i="88"/>
  <c r="C432" i="88"/>
  <c r="C431" i="88"/>
  <c r="C430" i="88"/>
  <c r="C429" i="88"/>
  <c r="C428" i="88"/>
  <c r="C427" i="88"/>
  <c r="C426" i="88"/>
  <c r="C425" i="88"/>
  <c r="C424" i="88"/>
  <c r="C423" i="88"/>
  <c r="C422" i="88"/>
  <c r="C421" i="88"/>
  <c r="C420" i="88"/>
  <c r="C419" i="88"/>
  <c r="C418" i="88"/>
  <c r="C417" i="88"/>
  <c r="C416" i="88"/>
  <c r="C415" i="88"/>
  <c r="C414" i="88"/>
  <c r="C413" i="88"/>
  <c r="C412" i="88"/>
  <c r="C411" i="88"/>
  <c r="C410" i="88"/>
  <c r="C409" i="88"/>
  <c r="C408" i="88"/>
  <c r="C407" i="88"/>
  <c r="C406" i="88"/>
  <c r="C405" i="88"/>
  <c r="C404" i="88"/>
  <c r="C403" i="88"/>
  <c r="C402" i="88"/>
  <c r="C401" i="88"/>
  <c r="C400" i="88"/>
  <c r="C399" i="88"/>
  <c r="C398" i="88"/>
  <c r="C397" i="88"/>
  <c r="C396" i="88"/>
  <c r="C395" i="88"/>
  <c r="C394" i="88"/>
  <c r="C393" i="88"/>
  <c r="C392" i="88"/>
  <c r="C391" i="88"/>
  <c r="C390" i="88"/>
  <c r="C389" i="88"/>
  <c r="C388" i="88"/>
  <c r="C387" i="88"/>
  <c r="C386" i="88"/>
  <c r="C385" i="88"/>
  <c r="C384" i="88"/>
  <c r="C383" i="88"/>
  <c r="C382" i="88"/>
  <c r="C381" i="88"/>
  <c r="C380" i="88"/>
  <c r="C379" i="88"/>
  <c r="C378" i="88"/>
  <c r="C377" i="88"/>
  <c r="C376" i="88"/>
  <c r="C375" i="88"/>
  <c r="C374" i="88"/>
  <c r="C373" i="88"/>
  <c r="C372" i="88"/>
  <c r="C371" i="88"/>
  <c r="C370" i="88"/>
  <c r="C369" i="88"/>
  <c r="C368" i="88"/>
  <c r="C367" i="88"/>
  <c r="C366" i="88"/>
  <c r="C365" i="88"/>
  <c r="C364" i="88"/>
  <c r="C363" i="88"/>
  <c r="C362" i="88"/>
  <c r="C361" i="88"/>
  <c r="C360" i="88"/>
  <c r="C359" i="88"/>
  <c r="C358" i="88"/>
  <c r="C357" i="88"/>
  <c r="C356" i="88"/>
  <c r="C355" i="88"/>
  <c r="C354" i="88"/>
  <c r="C353" i="88"/>
  <c r="C352" i="88"/>
  <c r="C351" i="88"/>
  <c r="C350" i="88"/>
  <c r="C349" i="88"/>
  <c r="C348" i="88"/>
  <c r="C347" i="88"/>
  <c r="C346" i="88"/>
  <c r="C345" i="88"/>
  <c r="C344" i="88"/>
  <c r="C343" i="88"/>
  <c r="C342" i="88"/>
  <c r="C341" i="88"/>
  <c r="C340" i="88"/>
  <c r="C339" i="88"/>
  <c r="C338" i="88"/>
  <c r="C337" i="88"/>
  <c r="C336" i="88"/>
  <c r="C335" i="88"/>
  <c r="C334" i="88"/>
  <c r="C333" i="88"/>
  <c r="C332" i="88"/>
  <c r="C331" i="88"/>
  <c r="C330" i="88"/>
  <c r="C329" i="88"/>
  <c r="C328" i="88"/>
  <c r="C327" i="88"/>
  <c r="C326" i="88"/>
  <c r="C325" i="88"/>
  <c r="C324" i="88"/>
  <c r="C323" i="88"/>
  <c r="C322" i="88"/>
  <c r="C321" i="88"/>
  <c r="C320" i="88"/>
  <c r="C319" i="88"/>
  <c r="C318" i="88"/>
  <c r="C317" i="88"/>
  <c r="C316" i="88"/>
  <c r="C315" i="88"/>
  <c r="C314" i="88"/>
  <c r="C313" i="88"/>
  <c r="C312" i="88"/>
  <c r="C311" i="88"/>
  <c r="C310" i="88"/>
  <c r="C309" i="88"/>
  <c r="C308" i="88"/>
  <c r="C307" i="88"/>
  <c r="C306" i="88"/>
  <c r="C305" i="88"/>
  <c r="C304" i="88"/>
  <c r="C303" i="88"/>
  <c r="C302" i="88"/>
  <c r="C301" i="88"/>
  <c r="C300" i="88"/>
  <c r="C299" i="88"/>
  <c r="C298" i="88"/>
  <c r="C297" i="88"/>
  <c r="C296" i="88"/>
  <c r="C295" i="88"/>
  <c r="C294" i="88"/>
  <c r="C293" i="88"/>
  <c r="C292" i="88"/>
  <c r="C291" i="88"/>
  <c r="C290" i="88"/>
  <c r="C289" i="88"/>
  <c r="C288" i="88"/>
  <c r="C287" i="88"/>
  <c r="C286" i="88"/>
  <c r="C285" i="88"/>
  <c r="C284" i="88"/>
  <c r="C283" i="88"/>
  <c r="C282" i="88"/>
  <c r="C281" i="88"/>
  <c r="C280" i="88"/>
  <c r="C279" i="88"/>
  <c r="C278" i="88"/>
  <c r="C277" i="88"/>
  <c r="C276" i="88"/>
  <c r="C275" i="88"/>
  <c r="C274" i="88"/>
  <c r="C273" i="88"/>
  <c r="C272" i="88"/>
  <c r="C271" i="88"/>
  <c r="C270" i="88"/>
  <c r="C269" i="88"/>
  <c r="C268" i="88"/>
  <c r="C267" i="88"/>
  <c r="C266" i="88"/>
  <c r="C265" i="88"/>
  <c r="C264" i="88"/>
  <c r="C263" i="88"/>
  <c r="C262" i="88"/>
  <c r="C261" i="88"/>
  <c r="C260" i="88"/>
  <c r="C259" i="88"/>
  <c r="C258" i="88"/>
  <c r="C257" i="88"/>
  <c r="C256" i="88"/>
  <c r="C255" i="88"/>
  <c r="C254" i="88"/>
  <c r="C253" i="88"/>
  <c r="C252" i="88"/>
  <c r="C251" i="88"/>
  <c r="C250" i="88"/>
  <c r="C249" i="88"/>
  <c r="C248" i="88"/>
  <c r="C247" i="88"/>
  <c r="C246" i="88"/>
  <c r="C245" i="88"/>
  <c r="C244" i="88"/>
  <c r="C243" i="88"/>
  <c r="C242" i="88"/>
  <c r="C241" i="88"/>
  <c r="C240" i="88"/>
  <c r="C239" i="88"/>
  <c r="C238" i="88"/>
  <c r="C237" i="88"/>
  <c r="C236" i="88"/>
  <c r="C235" i="88"/>
  <c r="C234" i="88"/>
  <c r="C233" i="88"/>
  <c r="C232" i="88"/>
  <c r="C231" i="88"/>
  <c r="C230" i="88"/>
  <c r="C229" i="88"/>
  <c r="C228" i="88"/>
  <c r="C227" i="88"/>
  <c r="C226" i="88"/>
  <c r="C225" i="88"/>
  <c r="C224" i="88"/>
  <c r="C223" i="88"/>
  <c r="C222" i="88"/>
  <c r="C221" i="88"/>
  <c r="C220" i="88"/>
  <c r="C219" i="88"/>
  <c r="C218" i="88"/>
  <c r="C217" i="88"/>
  <c r="C216" i="88"/>
  <c r="C215" i="88"/>
  <c r="C214" i="88"/>
  <c r="C213" i="88"/>
  <c r="C212" i="88"/>
  <c r="C211" i="88"/>
  <c r="C210" i="88"/>
  <c r="C209" i="88"/>
  <c r="C208" i="88"/>
  <c r="C207" i="88"/>
  <c r="C206" i="88"/>
  <c r="C205" i="88"/>
  <c r="C204" i="88"/>
  <c r="C203" i="88"/>
  <c r="C202" i="88"/>
  <c r="C201" i="88"/>
  <c r="C200" i="88"/>
  <c r="C199" i="88"/>
  <c r="C198" i="88"/>
  <c r="C197" i="88"/>
  <c r="C196" i="88"/>
  <c r="C195" i="88"/>
  <c r="C194" i="88"/>
  <c r="C193" i="88"/>
  <c r="C192" i="88"/>
  <c r="C191" i="88"/>
  <c r="C190" i="88"/>
  <c r="C189" i="88"/>
  <c r="C188" i="88"/>
  <c r="C187" i="88"/>
  <c r="C186" i="88"/>
  <c r="C185" i="88"/>
  <c r="C184" i="88"/>
  <c r="C183" i="88"/>
  <c r="C182" i="88"/>
  <c r="C181" i="88"/>
  <c r="C180" i="88"/>
  <c r="C179" i="88"/>
  <c r="C178" i="88"/>
  <c r="C177" i="88"/>
  <c r="C176" i="88"/>
  <c r="C175" i="88"/>
  <c r="C174" i="88"/>
  <c r="C173" i="88"/>
  <c r="C172" i="88"/>
  <c r="C171" i="88"/>
  <c r="C170" i="88"/>
  <c r="C169" i="88"/>
  <c r="C168" i="88"/>
  <c r="C167" i="88"/>
  <c r="C166" i="88"/>
  <c r="C165" i="88"/>
  <c r="C164" i="88"/>
  <c r="C163" i="88"/>
  <c r="C162" i="88"/>
  <c r="C161" i="88"/>
  <c r="C160" i="88"/>
  <c r="C159" i="88"/>
  <c r="C158" i="88"/>
  <c r="C157" i="88"/>
  <c r="C156" i="88"/>
  <c r="C155" i="88"/>
  <c r="C154" i="88"/>
  <c r="C153" i="88"/>
  <c r="C152" i="88"/>
  <c r="C151" i="88"/>
  <c r="C150" i="88"/>
  <c r="C149" i="88"/>
  <c r="C148" i="88"/>
  <c r="C147" i="88"/>
  <c r="C146" i="88"/>
  <c r="C145" i="88"/>
  <c r="C144" i="88"/>
  <c r="C143" i="88"/>
  <c r="C142" i="88"/>
  <c r="C141" i="88"/>
  <c r="C140" i="88"/>
  <c r="C139" i="88"/>
  <c r="C138" i="88"/>
  <c r="C137" i="88"/>
  <c r="C136" i="88"/>
  <c r="C135" i="88"/>
  <c r="C134" i="88"/>
  <c r="C133" i="88"/>
  <c r="C132" i="88"/>
  <c r="C131" i="88"/>
  <c r="C130" i="88"/>
  <c r="C129" i="88"/>
  <c r="C128" i="88"/>
  <c r="C127" i="88"/>
  <c r="C126" i="88"/>
  <c r="C125" i="88"/>
  <c r="C124" i="88"/>
  <c r="C123" i="88"/>
  <c r="C122" i="88"/>
  <c r="C121" i="88"/>
  <c r="C120" i="88"/>
  <c r="C119" i="88"/>
  <c r="C118" i="88"/>
  <c r="C117" i="88"/>
  <c r="C116" i="88"/>
  <c r="C115" i="88"/>
  <c r="C114" i="88"/>
  <c r="C113" i="88"/>
  <c r="C112" i="88"/>
  <c r="C111" i="88"/>
  <c r="C110" i="88"/>
  <c r="C109" i="88"/>
  <c r="C108" i="88"/>
  <c r="C107" i="88"/>
  <c r="C106" i="88"/>
  <c r="C105" i="88"/>
  <c r="C104" i="88"/>
  <c r="C103" i="88"/>
  <c r="C102" i="88"/>
  <c r="C101" i="88"/>
  <c r="C100" i="88"/>
  <c r="C99" i="88"/>
  <c r="C98" i="88"/>
  <c r="C97" i="88"/>
  <c r="C96" i="88"/>
  <c r="C95" i="88"/>
  <c r="C94" i="88"/>
  <c r="C93" i="88"/>
  <c r="C92" i="88"/>
  <c r="C91" i="88"/>
  <c r="C90" i="88"/>
  <c r="C89" i="88"/>
  <c r="C88" i="88"/>
  <c r="C87" i="88"/>
  <c r="C86" i="88"/>
  <c r="C85" i="88"/>
  <c r="C84" i="88"/>
  <c r="C83" i="88"/>
  <c r="C82" i="88"/>
  <c r="C81" i="88"/>
  <c r="C80" i="88"/>
  <c r="C79" i="88"/>
  <c r="C78" i="88"/>
  <c r="C77" i="88"/>
  <c r="C76" i="88"/>
  <c r="C75" i="88"/>
  <c r="C74" i="88"/>
  <c r="C73" i="88"/>
  <c r="C72" i="88"/>
  <c r="C71" i="88"/>
  <c r="C70" i="88"/>
  <c r="C69" i="88"/>
  <c r="C68" i="88"/>
  <c r="C67" i="88"/>
  <c r="C66" i="88"/>
  <c r="C65" i="88"/>
  <c r="C64" i="88"/>
  <c r="C63" i="88"/>
  <c r="C62" i="88"/>
  <c r="C61" i="88"/>
  <c r="C60" i="88"/>
  <c r="C59" i="88"/>
  <c r="C58" i="88"/>
  <c r="C57" i="88"/>
  <c r="C56" i="88"/>
  <c r="C55" i="88"/>
  <c r="C54" i="88"/>
  <c r="C53" i="88"/>
  <c r="C52" i="88"/>
  <c r="C51" i="88"/>
  <c r="C50" i="88"/>
  <c r="C49" i="88"/>
  <c r="C48" i="88"/>
  <c r="C47" i="88"/>
  <c r="C46" i="88"/>
  <c r="C45" i="88"/>
  <c r="C44" i="88"/>
  <c r="C43" i="88"/>
  <c r="C42" i="88"/>
  <c r="C41" i="88"/>
  <c r="C40" i="88"/>
  <c r="C39" i="88"/>
  <c r="C38" i="88"/>
  <c r="C37" i="88"/>
  <c r="C36" i="88"/>
  <c r="C35" i="88"/>
  <c r="C34" i="88"/>
  <c r="C33" i="88"/>
  <c r="C32" i="88"/>
  <c r="C31" i="88"/>
  <c r="C30" i="88"/>
  <c r="C29" i="88"/>
  <c r="C28" i="88"/>
  <c r="C27" i="88"/>
  <c r="C26" i="88"/>
  <c r="C25" i="88"/>
  <c r="C24" i="88"/>
  <c r="C23" i="88"/>
  <c r="C22" i="88"/>
  <c r="C21" i="88"/>
  <c r="C20" i="88"/>
  <c r="C19" i="88"/>
  <c r="C18" i="88"/>
  <c r="C17" i="88"/>
  <c r="C16" i="88"/>
  <c r="C15" i="88"/>
  <c r="C14" i="88"/>
  <c r="C13" i="88"/>
  <c r="C12" i="88"/>
  <c r="C11" i="88"/>
  <c r="C10" i="88"/>
  <c r="C9" i="88"/>
  <c r="C8" i="88"/>
  <c r="C7" i="88"/>
  <c r="C6" i="88"/>
  <c r="C5" i="88"/>
  <c r="C4" i="88"/>
  <c r="C3" i="88"/>
  <c r="C2" i="88"/>
  <c r="U31" i="86" l="1"/>
  <c r="AO76" i="20"/>
  <c r="C73" i="83" l="1"/>
  <c r="C75" i="83" l="1"/>
  <c r="C34" i="6"/>
  <c r="C33" i="6"/>
  <c r="C32" i="6"/>
  <c r="C31" i="6"/>
  <c r="H15" i="10"/>
  <c r="D26" i="6" l="1"/>
  <c r="G9" i="6"/>
  <c r="B14" i="6"/>
  <c r="B15" i="6" s="1"/>
  <c r="B16" i="6" s="1"/>
  <c r="C77" i="83"/>
  <c r="D9" i="83" l="1"/>
  <c r="C88" i="83"/>
  <c r="C82" i="83"/>
  <c r="C90" i="83"/>
  <c r="C86" i="83"/>
  <c r="C79" i="83"/>
  <c r="C21" i="83"/>
  <c r="C20" i="83"/>
  <c r="C18" i="83"/>
  <c r="C17" i="83"/>
  <c r="C71" i="83"/>
  <c r="C70" i="83"/>
  <c r="C68" i="83"/>
  <c r="C66" i="83"/>
  <c r="C65" i="83"/>
  <c r="C63" i="83"/>
  <c r="C62" i="83"/>
  <c r="C60" i="83"/>
  <c r="C58" i="83"/>
  <c r="C57" i="83"/>
  <c r="C55" i="83"/>
  <c r="C54" i="83"/>
  <c r="C52" i="83"/>
  <c r="C50" i="83"/>
  <c r="C48" i="83"/>
  <c r="C47" i="83"/>
  <c r="C46" i="83"/>
  <c r="C45" i="83"/>
  <c r="C44" i="83"/>
  <c r="C43" i="83"/>
  <c r="C42" i="83"/>
  <c r="C41" i="83"/>
  <c r="C40" i="83"/>
  <c r="C39" i="83"/>
  <c r="C38" i="83"/>
  <c r="C37" i="83"/>
  <c r="C36" i="83"/>
  <c r="C35" i="83"/>
  <c r="C34" i="83"/>
  <c r="C33" i="83"/>
  <c r="C32" i="83"/>
  <c r="C31" i="83"/>
  <c r="C30" i="83"/>
  <c r="C29" i="83"/>
  <c r="C28" i="83"/>
  <c r="C27" i="83"/>
  <c r="C26" i="83"/>
  <c r="C25" i="83"/>
  <c r="C24" i="83"/>
  <c r="C23" i="83"/>
  <c r="C15" i="83"/>
  <c r="C14" i="83"/>
  <c r="C12" i="83"/>
  <c r="C11" i="83"/>
  <c r="C5" i="83"/>
  <c r="C4" i="83"/>
  <c r="I21" i="35"/>
  <c r="I21" i="34"/>
  <c r="I21" i="10"/>
  <c r="I28" i="10"/>
  <c r="Q19" i="3"/>
  <c r="O19" i="3"/>
  <c r="M19" i="3"/>
  <c r="K19" i="3"/>
  <c r="C19" i="3"/>
  <c r="A23" i="62"/>
  <c r="AF37" i="20"/>
  <c r="AF36" i="20"/>
  <c r="A31" i="6" l="1"/>
  <c r="H65" i="91"/>
  <c r="M67" i="91"/>
  <c r="H67" i="91"/>
  <c r="S65" i="91"/>
  <c r="M65" i="91"/>
  <c r="D90" i="83"/>
  <c r="D75" i="83"/>
  <c r="D62" i="83"/>
  <c r="D50" i="83"/>
  <c r="D41" i="83"/>
  <c r="D33" i="83"/>
  <c r="D25" i="83"/>
  <c r="AT25" i="3" s="1"/>
  <c r="AN25" i="3" s="1"/>
  <c r="D14" i="83"/>
  <c r="D35" i="83"/>
  <c r="AT30" i="3" s="1"/>
  <c r="AN30" i="3" s="1"/>
  <c r="D34" i="83"/>
  <c r="D88" i="83"/>
  <c r="D73" i="83"/>
  <c r="D60" i="83"/>
  <c r="D48" i="83"/>
  <c r="D40" i="83"/>
  <c r="AU32" i="3" s="1"/>
  <c r="AO32" i="3" s="1"/>
  <c r="D32" i="83"/>
  <c r="AU28" i="3" s="1"/>
  <c r="AO28" i="3" s="1"/>
  <c r="D24" i="83"/>
  <c r="AU24" i="3" s="1"/>
  <c r="AO24" i="3" s="1"/>
  <c r="D12" i="83"/>
  <c r="D65" i="83"/>
  <c r="D86" i="83"/>
  <c r="D71" i="83"/>
  <c r="D58" i="83"/>
  <c r="D47" i="83"/>
  <c r="D39" i="83"/>
  <c r="D31" i="83"/>
  <c r="D23" i="83"/>
  <c r="AT24" i="3" s="1"/>
  <c r="AN24" i="3" s="1"/>
  <c r="D11" i="83"/>
  <c r="D63" i="83"/>
  <c r="D84" i="83"/>
  <c r="D70" i="83"/>
  <c r="D57" i="83"/>
  <c r="D46" i="83"/>
  <c r="AU35" i="3" s="1"/>
  <c r="AO35" i="3" s="1"/>
  <c r="D38" i="83"/>
  <c r="AU31" i="3" s="1"/>
  <c r="AO31" i="3" s="1"/>
  <c r="D30" i="83"/>
  <c r="D21" i="83"/>
  <c r="D29" i="83"/>
  <c r="D18" i="83"/>
  <c r="D27" i="83"/>
  <c r="D51" i="83"/>
  <c r="D82" i="83"/>
  <c r="D68" i="83"/>
  <c r="D55" i="83"/>
  <c r="D45" i="83"/>
  <c r="D37" i="83"/>
  <c r="D20" i="83"/>
  <c r="D43" i="83"/>
  <c r="AT34" i="3" s="1"/>
  <c r="AN34" i="3" s="1"/>
  <c r="D26" i="83"/>
  <c r="D80" i="83"/>
  <c r="D66" i="83"/>
  <c r="D54" i="83"/>
  <c r="D44" i="83"/>
  <c r="D36" i="83"/>
  <c r="D28" i="83"/>
  <c r="D52" i="83"/>
  <c r="D42" i="83"/>
  <c r="AU33" i="3" s="1"/>
  <c r="AO33" i="3" s="1"/>
  <c r="D79" i="83"/>
  <c r="D17" i="83"/>
  <c r="D15" i="83"/>
  <c r="D77" i="83"/>
  <c r="K18" i="3"/>
  <c r="C18" i="3"/>
  <c r="AU26" i="3"/>
  <c r="AO26" i="3" s="1"/>
  <c r="AT27" i="3"/>
  <c r="AN27" i="3" s="1"/>
  <c r="AT31" i="3"/>
  <c r="AN31" i="3" s="1"/>
  <c r="AT35" i="3"/>
  <c r="AN35" i="3" s="1"/>
  <c r="AU27" i="3"/>
  <c r="AO27" i="3" s="1"/>
  <c r="AT29" i="3"/>
  <c r="AN29" i="3" s="1"/>
  <c r="AT33" i="3"/>
  <c r="AN33" i="3" s="1"/>
  <c r="AU25" i="3"/>
  <c r="AO25" i="3" s="1"/>
  <c r="AU29" i="3"/>
  <c r="AO29" i="3" s="1"/>
  <c r="AT26" i="3"/>
  <c r="AN26" i="3" s="1"/>
  <c r="AU30" i="3"/>
  <c r="AO30" i="3" s="1"/>
  <c r="AU34" i="3"/>
  <c r="AO34" i="3" s="1"/>
  <c r="AT28" i="3"/>
  <c r="AN28" i="3" s="1"/>
  <c r="AT32" i="3"/>
  <c r="AN32" i="3" s="1"/>
  <c r="AT36" i="3"/>
  <c r="AN36" i="3" s="1"/>
  <c r="AU36" i="3"/>
  <c r="AO36" i="3" s="1"/>
  <c r="G10" i="35"/>
  <c r="D10" i="35"/>
  <c r="G10" i="34"/>
  <c r="D10" i="34"/>
  <c r="X11" i="3"/>
  <c r="D31" i="6" l="1"/>
  <c r="AT38" i="3"/>
  <c r="AT39" i="3"/>
  <c r="G15" i="20"/>
  <c r="G16" i="20"/>
  <c r="AI39" i="3" l="1"/>
  <c r="AK39" i="3" s="1"/>
  <c r="AL39" i="3"/>
  <c r="AI38" i="3"/>
  <c r="AK38" i="3" s="1"/>
  <c r="AL38" i="3"/>
  <c r="Q49" i="86" l="1"/>
  <c r="I28" i="35" l="1"/>
  <c r="I28" i="34"/>
  <c r="AB37" i="20" l="1"/>
  <c r="D36" i="6" l="1"/>
  <c r="G45" i="6" l="1"/>
  <c r="M44" i="5"/>
  <c r="J64" i="35"/>
  <c r="J64" i="34"/>
  <c r="J64" i="10"/>
  <c r="AG38" i="3"/>
  <c r="AO58" i="62"/>
  <c r="Y36" i="3" l="1"/>
  <c r="Y35" i="3"/>
  <c r="Y34" i="3"/>
  <c r="Y33" i="3"/>
  <c r="Y32" i="3"/>
  <c r="Y31" i="3"/>
  <c r="Y30" i="3"/>
  <c r="Y29" i="3"/>
  <c r="Y28" i="3"/>
  <c r="Y27" i="3"/>
  <c r="Y26" i="3"/>
  <c r="Y25" i="3"/>
  <c r="Y24" i="3"/>
  <c r="W24" i="3"/>
  <c r="W36" i="3"/>
  <c r="W35" i="3"/>
  <c r="W34" i="3"/>
  <c r="W33" i="3"/>
  <c r="W32" i="3"/>
  <c r="W31" i="3"/>
  <c r="W30" i="3"/>
  <c r="W29" i="3"/>
  <c r="W28" i="3"/>
  <c r="W27" i="3"/>
  <c r="W26" i="3"/>
  <c r="W25" i="3"/>
  <c r="U24" i="3"/>
  <c r="AA24" i="3" l="1"/>
  <c r="U45" i="19"/>
  <c r="C12" i="60"/>
  <c r="AB44" i="20" l="1"/>
  <c r="AB43" i="20"/>
  <c r="AB42" i="20"/>
  <c r="I36" i="20"/>
  <c r="L2" i="5" l="1"/>
  <c r="C3" i="5" l="1"/>
  <c r="G10" i="10"/>
  <c r="M11" i="3"/>
  <c r="C2" i="5"/>
  <c r="D10" i="10"/>
  <c r="E11" i="3"/>
  <c r="G13" i="20" l="1"/>
  <c r="G12" i="20"/>
  <c r="F9" i="6" l="1"/>
  <c r="G16" i="6"/>
  <c r="F16" i="6"/>
  <c r="G15" i="6"/>
  <c r="F15" i="6"/>
  <c r="F14" i="6"/>
  <c r="D9" i="6"/>
  <c r="E16" i="6"/>
  <c r="D16" i="6"/>
  <c r="E15" i="6"/>
  <c r="D15" i="6"/>
  <c r="E14" i="6"/>
  <c r="D14" i="6"/>
  <c r="E9" i="6"/>
  <c r="F19" i="6" l="1"/>
  <c r="D19" i="6"/>
  <c r="C14" i="6"/>
  <c r="C15" i="6" s="1"/>
  <c r="C16" i="6" s="1"/>
  <c r="B19" i="6" s="1"/>
  <c r="S19" i="3" l="1"/>
  <c r="S18" i="3"/>
  <c r="S15" i="3"/>
  <c r="I19" i="3"/>
  <c r="G19" i="3"/>
  <c r="E19" i="3"/>
  <c r="C15" i="3"/>
  <c r="AA32" i="19"/>
  <c r="A17" i="62"/>
  <c r="A28" i="6" s="1"/>
  <c r="A18" i="62"/>
  <c r="A29" i="6" s="1"/>
  <c r="A24" i="62"/>
  <c r="A32" i="6" s="1"/>
  <c r="A25" i="62"/>
  <c r="A33" i="6" s="1"/>
  <c r="A26" i="62"/>
  <c r="A34" i="6" s="1"/>
  <c r="A30" i="62"/>
  <c r="A34" i="62"/>
  <c r="A35" i="62"/>
  <c r="A36" i="62"/>
  <c r="H34" i="62" l="1"/>
  <c r="J31" i="91" s="1"/>
  <c r="H100" i="91"/>
  <c r="H102" i="91"/>
  <c r="H96" i="91"/>
  <c r="H94" i="91"/>
  <c r="AM30" i="62"/>
  <c r="M96" i="91" s="1"/>
  <c r="A36" i="6"/>
  <c r="D34" i="6"/>
  <c r="D33" i="6"/>
  <c r="E15" i="3"/>
  <c r="G15" i="3"/>
  <c r="I15" i="3"/>
  <c r="M35" i="62"/>
  <c r="M36" i="62"/>
  <c r="M34" i="62"/>
  <c r="J32" i="91" s="1"/>
  <c r="AG34" i="62"/>
  <c r="H35" i="62"/>
  <c r="AM44" i="62"/>
  <c r="D36" i="62"/>
  <c r="AM36" i="62"/>
  <c r="D35" i="62"/>
  <c r="AM43" i="62"/>
  <c r="AM35" i="62"/>
  <c r="AG35" i="62"/>
  <c r="AG36" i="62"/>
  <c r="AM45" i="62"/>
  <c r="H36" i="62"/>
  <c r="O18" i="3" l="1"/>
  <c r="AM47" i="62"/>
  <c r="D32" i="6"/>
  <c r="Q18" i="3"/>
  <c r="M18" i="3"/>
  <c r="W15" i="3"/>
  <c r="W18" i="3"/>
  <c r="D28" i="6"/>
  <c r="G18" i="3"/>
  <c r="U15" i="3"/>
  <c r="U18" i="3"/>
  <c r="D27" i="6"/>
  <c r="E18" i="3"/>
  <c r="Y18" i="3"/>
  <c r="Y15" i="3"/>
  <c r="D29" i="6"/>
  <c r="I18" i="3"/>
  <c r="AM48" i="62" l="1"/>
  <c r="H28" i="35" l="1"/>
  <c r="H27" i="35"/>
  <c r="H26" i="35"/>
  <c r="H25" i="35"/>
  <c r="H24" i="35"/>
  <c r="H23" i="35"/>
  <c r="H22" i="35"/>
  <c r="H21" i="35"/>
  <c r="H20" i="35"/>
  <c r="H19" i="35"/>
  <c r="H18" i="35"/>
  <c r="H17" i="35"/>
  <c r="H16" i="35"/>
  <c r="H15" i="35"/>
  <c r="H28" i="34"/>
  <c r="D17" i="6" s="1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28" i="10"/>
  <c r="B17" i="6" s="1"/>
  <c r="H27" i="10"/>
  <c r="U36" i="3" s="1"/>
  <c r="AA36" i="3" s="1"/>
  <c r="H26" i="10"/>
  <c r="U35" i="3" s="1"/>
  <c r="AA35" i="3" s="1"/>
  <c r="H25" i="10"/>
  <c r="U34" i="3" s="1"/>
  <c r="AA34" i="3" s="1"/>
  <c r="H24" i="10"/>
  <c r="U33" i="3" s="1"/>
  <c r="AA33" i="3" s="1"/>
  <c r="H23" i="10"/>
  <c r="U32" i="3" s="1"/>
  <c r="AA32" i="3" s="1"/>
  <c r="H22" i="10"/>
  <c r="U31" i="3" s="1"/>
  <c r="AA31" i="3" s="1"/>
  <c r="H21" i="10"/>
  <c r="U30" i="3" s="1"/>
  <c r="AA30" i="3" s="1"/>
  <c r="H20" i="10"/>
  <c r="U29" i="3" s="1"/>
  <c r="AA29" i="3" s="1"/>
  <c r="H19" i="10"/>
  <c r="U28" i="3" s="1"/>
  <c r="AA28" i="3" s="1"/>
  <c r="H18" i="10"/>
  <c r="U27" i="3" s="1"/>
  <c r="AA27" i="3" s="1"/>
  <c r="H17" i="10"/>
  <c r="U26" i="3" s="1"/>
  <c r="AA26" i="3" s="1"/>
  <c r="H16" i="10"/>
  <c r="U25" i="3" s="1"/>
  <c r="AA25" i="3" s="1"/>
  <c r="B9" i="6" l="1"/>
  <c r="C9" i="6" s="1"/>
  <c r="D34" i="62"/>
  <c r="J29" i="20" l="1"/>
  <c r="J30" i="20" s="1"/>
  <c r="H118" i="91" s="1"/>
  <c r="J33" i="91"/>
  <c r="AA46" i="20"/>
  <c r="AA53" i="20" s="1"/>
  <c r="AA52" i="20"/>
  <c r="AA51" i="20"/>
  <c r="J30" i="91" l="1"/>
  <c r="J28" i="91"/>
  <c r="J27" i="91"/>
  <c r="I15" i="10"/>
  <c r="C36" i="6" l="1"/>
  <c r="C29" i="6"/>
  <c r="C28" i="6"/>
  <c r="C27" i="6"/>
  <c r="F18" i="6" l="1"/>
  <c r="D18" i="6"/>
  <c r="B18" i="6"/>
  <c r="B20" i="6" s="1"/>
  <c r="F17" i="6" l="1"/>
  <c r="B32" i="6" l="1"/>
  <c r="E32" i="6" s="1"/>
  <c r="B27" i="6"/>
  <c r="E27" i="6" s="1"/>
  <c r="B36" i="6"/>
  <c r="E36" i="6" s="1"/>
  <c r="B31" i="6"/>
  <c r="E31" i="6" s="1"/>
  <c r="B34" i="6"/>
  <c r="E34" i="6" s="1"/>
  <c r="B29" i="6"/>
  <c r="E29" i="6" s="1"/>
  <c r="B33" i="6"/>
  <c r="E33" i="6" s="1"/>
  <c r="B28" i="6"/>
  <c r="E28" i="6" s="1"/>
  <c r="B38" i="6" l="1"/>
  <c r="AG24" i="3" l="1"/>
  <c r="AE24" i="3"/>
  <c r="AE32" i="3"/>
  <c r="AG34" i="3"/>
  <c r="AG35" i="3"/>
  <c r="AE31" i="3"/>
  <c r="AE26" i="3"/>
  <c r="AE34" i="3"/>
  <c r="AG28" i="3"/>
  <c r="AG36" i="3"/>
  <c r="AE25" i="3"/>
  <c r="AE33" i="3"/>
  <c r="AG33" i="3"/>
  <c r="AG26" i="3"/>
  <c r="AG25" i="3"/>
  <c r="AE28" i="3"/>
  <c r="AE36" i="3"/>
  <c r="AG30" i="3"/>
  <c r="AG27" i="3"/>
  <c r="AE27" i="3"/>
  <c r="AE35" i="3"/>
  <c r="AG29" i="3"/>
  <c r="AE30" i="3"/>
  <c r="AG32" i="3"/>
  <c r="AG31" i="3"/>
  <c r="AE29" i="3"/>
  <c r="B39" i="6" l="1"/>
  <c r="E39" i="6" s="1"/>
  <c r="B40" i="6"/>
  <c r="E40" i="6" s="1"/>
  <c r="J28" i="35"/>
  <c r="J21" i="35"/>
  <c r="I15" i="35"/>
  <c r="J15" i="35" s="1"/>
  <c r="J28" i="34"/>
  <c r="J21" i="34"/>
  <c r="I15" i="34"/>
  <c r="J15" i="34" s="1"/>
  <c r="J15" i="10"/>
  <c r="J28" i="10"/>
  <c r="E53" i="20"/>
  <c r="J141" i="91" s="1"/>
  <c r="E52" i="20"/>
  <c r="J140" i="91" s="1"/>
  <c r="E51" i="20"/>
  <c r="J139" i="91" s="1"/>
  <c r="E50" i="20"/>
  <c r="J138" i="91" s="1"/>
  <c r="E45" i="20"/>
  <c r="J133" i="91" s="1"/>
  <c r="E44" i="20"/>
  <c r="J132" i="91" s="1"/>
  <c r="E43" i="20"/>
  <c r="J131" i="91" s="1"/>
  <c r="E42" i="20"/>
  <c r="J130" i="91" s="1"/>
  <c r="E41" i="20"/>
  <c r="J129" i="91" s="1"/>
  <c r="M51" i="20"/>
  <c r="U139" i="91" s="1"/>
  <c r="I49" i="20"/>
  <c r="P137" i="91" s="1"/>
  <c r="M43" i="20"/>
  <c r="U131" i="91" s="1"/>
  <c r="AK24" i="3"/>
  <c r="AL24" i="3" s="1"/>
  <c r="AK25" i="3"/>
  <c r="AL25" i="3" s="1"/>
  <c r="AK26" i="3"/>
  <c r="AL26" i="3" s="1"/>
  <c r="AK27" i="3"/>
  <c r="AL27" i="3" s="1"/>
  <c r="AK28" i="3"/>
  <c r="AL28" i="3" s="1"/>
  <c r="AK29" i="3"/>
  <c r="AL29" i="3" s="1"/>
  <c r="AK30" i="3"/>
  <c r="AL30" i="3" s="1"/>
  <c r="AK31" i="3"/>
  <c r="AL31" i="3" s="1"/>
  <c r="AK32" i="3"/>
  <c r="AL32" i="3" s="1"/>
  <c r="AK33" i="3"/>
  <c r="AL33" i="3" s="1"/>
  <c r="AK34" i="3"/>
  <c r="AL34" i="3" s="1"/>
  <c r="AK35" i="3"/>
  <c r="AL35" i="3" s="1"/>
  <c r="AK36" i="3"/>
  <c r="AL36" i="3" s="1"/>
  <c r="AL23" i="3"/>
  <c r="I41" i="20"/>
  <c r="P129" i="91" s="1"/>
  <c r="I51" i="20"/>
  <c r="P139" i="91" s="1"/>
  <c r="M42" i="20"/>
  <c r="U130" i="91" s="1"/>
  <c r="I53" i="20"/>
  <c r="P141" i="91" s="1"/>
  <c r="M48" i="20"/>
  <c r="U136" i="91" s="1"/>
  <c r="I44" i="20"/>
  <c r="P132" i="91" s="1"/>
  <c r="M50" i="20"/>
  <c r="U138" i="91" s="1"/>
  <c r="I46" i="20"/>
  <c r="P134" i="91" s="1"/>
  <c r="M46" i="20"/>
  <c r="U134" i="91" s="1"/>
  <c r="I43" i="20"/>
  <c r="P131" i="91" s="1"/>
  <c r="M44" i="20"/>
  <c r="U132" i="91" s="1"/>
  <c r="I45" i="20"/>
  <c r="P133" i="91" s="1"/>
  <c r="M41" i="20"/>
  <c r="U129" i="91" s="1"/>
  <c r="M49" i="20"/>
  <c r="U137" i="91" s="1"/>
  <c r="I50" i="20"/>
  <c r="P138" i="91" s="1"/>
  <c r="I52" i="20"/>
  <c r="P140" i="91" s="1"/>
  <c r="M45" i="20"/>
  <c r="U133" i="91" s="1"/>
  <c r="I42" i="20"/>
  <c r="P130" i="91" s="1"/>
  <c r="M47" i="20"/>
  <c r="U135" i="91" s="1"/>
  <c r="I48" i="20"/>
  <c r="P136" i="91" s="1"/>
  <c r="I47" i="20"/>
  <c r="P135" i="91" s="1"/>
  <c r="J21" i="10" l="1"/>
  <c r="M52" i="20"/>
  <c r="U140" i="91" s="1"/>
  <c r="M53" i="20" l="1"/>
  <c r="U141" i="91" s="1"/>
  <c r="AM34" i="62" l="1"/>
  <c r="E38" i="6" l="1"/>
  <c r="F42" i="6" s="1"/>
  <c r="AM38" i="62" s="1"/>
  <c r="AH26" i="91" s="1"/>
  <c r="M102" i="9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tc={2526FB72-A4D4-4850-8C97-C0C60183A00A}</author>
    <author>tc={5F0E6785-74D5-4D68-B9F3-6B271FEF0EC9}</author>
    <author>tc={94B54B72-9E99-455D-84A6-B37B3C8B7C1F}</author>
    <author>tc={AAABB339-4B5F-422B-9636-CB2A3986F3E1}</author>
    <author>tc={446B14F4-77FA-4FA4-846C-2FEC0B9C783F}</author>
  </authors>
  <commentList>
    <comment ref="B50" authorId="0" shapeId="0" xr:uid="{2526FB72-A4D4-4850-8C97-C0C60183A00A}">
      <text>
        <t>[Threaded comment]
Your version of Excel allows you to read this threaded comment; however, any edits to it will get removed if the file is opened in a newer version of Excel. Learn more: https://go.microsoft.com/fwlink/?linkid=870924
Comment:
    Split into two for 301 base mixes.</t>
      </text>
    </comment>
    <comment ref="B51" authorId="1" shapeId="0" xr:uid="{5F0E6785-74D5-4D68-B9F3-6B271FEF0EC9}">
      <text>
        <t>[Threaded comment]
Your version of Excel allows you to read this threaded comment; however, any edits to it will get removed if the file is opened in a newer version of Excel. Learn more: https://go.microsoft.com/fwlink/?linkid=870924
Comment:
    Split into two for 301 base mixes.</t>
      </text>
    </comment>
    <comment ref="B75" authorId="2" shapeId="0" xr:uid="{94B54B72-9E99-455D-84A6-B37B3C8B7C1F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used.</t>
      </text>
    </comment>
    <comment ref="B79" authorId="3" shapeId="0" xr:uid="{AAABB339-4B5F-422B-9636-CB2A3986F3E1}">
      <text>
        <t>[Threaded comment]
Your version of Excel allows you to read this threaded comment; however, any edits to it will get removed if the file is opened in a newer version of Excel. Learn more: https://go.microsoft.com/fwlink/?linkid=870924
Comment:
    Split into two for 302 base mixes.</t>
      </text>
    </comment>
    <comment ref="B80" authorId="4" shapeId="0" xr:uid="{446B14F4-77FA-4FA4-846C-2FEC0B9C783F}">
      <text>
        <t>[Threaded comment]
Your version of Excel allows you to read this threaded comment; however, any edits to it will get removed if the file is opened in a newer version of Excel. Learn more: https://go.microsoft.com/fwlink/?linkid=870924
Comment:
    Split into two for 302 base mixes.</t>
      </text>
    </comment>
  </commentList>
</comments>
</file>

<file path=xl/sharedStrings.xml><?xml version="1.0" encoding="utf-8"?>
<sst xmlns="http://schemas.openxmlformats.org/spreadsheetml/2006/main" count="6041" uniqueCount="2104">
  <si>
    <t>Name:</t>
  </si>
  <si>
    <t>Title:</t>
  </si>
  <si>
    <t>Address:</t>
  </si>
  <si>
    <t>City:</t>
  </si>
  <si>
    <t>State:</t>
  </si>
  <si>
    <t>Zip:</t>
  </si>
  <si>
    <t>County:</t>
  </si>
  <si>
    <t>Location:</t>
  </si>
  <si>
    <t>Sieve</t>
  </si>
  <si>
    <t>2"</t>
  </si>
  <si>
    <t>1 1/2"</t>
  </si>
  <si>
    <t>1"</t>
  </si>
  <si>
    <t>3/4"</t>
  </si>
  <si>
    <t>1/2"</t>
  </si>
  <si>
    <t>3/8"</t>
  </si>
  <si>
    <t>#4</t>
  </si>
  <si>
    <t>#8</t>
  </si>
  <si>
    <t>#16</t>
  </si>
  <si>
    <t>#30</t>
  </si>
  <si>
    <t>#50</t>
  </si>
  <si>
    <t>#100</t>
  </si>
  <si>
    <t>#200</t>
  </si>
  <si>
    <t>%</t>
  </si>
  <si>
    <t>Size</t>
  </si>
  <si>
    <t>Type</t>
  </si>
  <si>
    <t>Producer/Location</t>
  </si>
  <si>
    <t>AGGREGATE BLEND SHEET</t>
  </si>
  <si>
    <t>% USED</t>
  </si>
  <si>
    <t>GRAPH DATA</t>
  </si>
  <si>
    <t>SPECIFICATION</t>
  </si>
  <si>
    <t>SIEVE</t>
  </si>
  <si>
    <t>SIEVE (in.)</t>
  </si>
  <si>
    <t>0.45 POWER</t>
  </si>
  <si>
    <t>JMF BLEND</t>
  </si>
  <si>
    <t>LOWER SPEC. LIMIT</t>
  </si>
  <si>
    <t>UPPER SPEC. LIMIT</t>
  </si>
  <si>
    <t>1" (25.4)</t>
  </si>
  <si>
    <t>3/4" (19)</t>
  </si>
  <si>
    <t>1/2" (12.7)</t>
  </si>
  <si>
    <t>3/8" (9.5)</t>
  </si>
  <si>
    <t>#4 (4.75)</t>
  </si>
  <si>
    <t>#8 (2.36)</t>
  </si>
  <si>
    <t>#16 (1.18)</t>
  </si>
  <si>
    <t>#30 (0.6)</t>
  </si>
  <si>
    <t>#50 (0.3)</t>
  </si>
  <si>
    <t>#100 (0.15)</t>
  </si>
  <si>
    <t>% AC</t>
  </si>
  <si>
    <t>F</t>
  </si>
  <si>
    <t>SSD</t>
  </si>
  <si>
    <t>Fine Aggregate</t>
  </si>
  <si>
    <t>% Of Blend</t>
  </si>
  <si>
    <t>A                  DRY WT. OF MIX  Gms</t>
  </si>
  <si>
    <t>A*                SSD DRY WT. OF MIX</t>
  </si>
  <si>
    <t>B                 CONT. &amp; MIX &amp; WATER</t>
  </si>
  <si>
    <t>C                 CONT. &amp; WATER  (CONST)</t>
  </si>
  <si>
    <t>D                 MIX WT. WATER  (B-C)</t>
  </si>
  <si>
    <t>Dry Blk SG</t>
  </si>
  <si>
    <t>Low</t>
  </si>
  <si>
    <t>High</t>
  </si>
  <si>
    <t>% Pass</t>
  </si>
  <si>
    <t>1600 West Broad Street</t>
  </si>
  <si>
    <t>Columbus, Ohio 43223-1928</t>
  </si>
  <si>
    <t>METRIC</t>
  </si>
  <si>
    <t>U.S.</t>
  </si>
  <si>
    <t>SAMPLE  #1</t>
  </si>
  <si>
    <t>SAMPLE  #2</t>
  </si>
  <si>
    <t>COMBINED</t>
  </si>
  <si>
    <t>% P</t>
  </si>
  <si>
    <t>COMPOSITION</t>
  </si>
  <si>
    <t>ACCUM.</t>
  </si>
  <si>
    <t>TARGET</t>
  </si>
  <si>
    <t>No</t>
  </si>
  <si>
    <t>Composition</t>
  </si>
  <si>
    <t>Asphalt Materials Section</t>
  </si>
  <si>
    <t>Testing Laboratory</t>
  </si>
  <si>
    <t>Phone:</t>
  </si>
  <si>
    <t>Cell:</t>
  </si>
  <si>
    <t>Other Design Individual</t>
  </si>
  <si>
    <t>Routes:</t>
  </si>
  <si>
    <t>ODOT SPEC. BAND</t>
  </si>
  <si>
    <t>PG Grade by Proposal</t>
  </si>
  <si>
    <t>% Virgin Binder</t>
  </si>
  <si>
    <t>F/A Ratio</t>
  </si>
  <si>
    <t>50 - 30 Ratio</t>
  </si>
  <si>
    <t>TSR Ratio</t>
  </si>
  <si>
    <t>NOTES:</t>
  </si>
  <si>
    <t>2" (50.8)</t>
  </si>
  <si>
    <t>1-1/2" (38.1)</t>
  </si>
  <si>
    <t>#200 (0.075)</t>
  </si>
  <si>
    <t>SAMPLE #3</t>
  </si>
  <si>
    <t>SAMPLE  #4</t>
  </si>
  <si>
    <t>Y AXIS</t>
  </si>
  <si>
    <t>X AXIS</t>
  </si>
  <si>
    <t>AGED</t>
  </si>
  <si>
    <t>NEW</t>
  </si>
  <si>
    <t>BLEND</t>
  </si>
  <si>
    <t>Pb                BINDER CONTENT  %</t>
  </si>
  <si>
    <t>F                 A/E</t>
  </si>
  <si>
    <t>Office of Materials Management</t>
  </si>
  <si>
    <t>-</t>
  </si>
  <si>
    <t>Gse</t>
  </si>
  <si>
    <t xml:space="preserve">Blend Gsb = </t>
  </si>
  <si>
    <t>MARSHALL  MIX  DESIGN</t>
  </si>
  <si>
    <t>Mix Type</t>
  </si>
  <si>
    <t>DESIGN   LIMITS</t>
  </si>
  <si>
    <t>E                 (A-D); IF SSD THEN (A*-D)</t>
  </si>
  <si>
    <t>Portage</t>
  </si>
  <si>
    <t>RAP</t>
  </si>
  <si>
    <t>District:</t>
  </si>
  <si>
    <t>Level 2 or 3 Individual</t>
  </si>
  <si>
    <t>Level 3 Laboratory</t>
  </si>
  <si>
    <t xml:space="preserve">To:   </t>
  </si>
  <si>
    <t>Ohio Department of Transportation</t>
  </si>
  <si>
    <t xml:space="preserve">Submitted by:   </t>
  </si>
  <si>
    <t>E-mail:</t>
  </si>
  <si>
    <t xml:space="preserve">Project info:   </t>
  </si>
  <si>
    <t>SS-800 Date</t>
  </si>
  <si>
    <t>% Binder from RAP</t>
  </si>
  <si>
    <t>2 Pts Above and Below Opt.?</t>
  </si>
  <si>
    <t>Design Air Voids (%)</t>
  </si>
  <si>
    <t>Range</t>
  </si>
  <si>
    <t># of Samples</t>
  </si>
  <si>
    <t>MIX TYPE:</t>
  </si>
  <si>
    <t xml:space="preserve">MIX TYPE: </t>
  </si>
  <si>
    <t>RAP 2 Analysis</t>
  </si>
  <si>
    <t>RAP 3 Analysis</t>
  </si>
  <si>
    <t>Coarse Aggregate</t>
  </si>
  <si>
    <t>Will this mix be produced at multiple plants? If so, please enter plant information:</t>
  </si>
  <si>
    <t>Plant 2 Name:</t>
  </si>
  <si>
    <t>Plant 3 Name:</t>
  </si>
  <si>
    <t>Plant 1 Name:</t>
  </si>
  <si>
    <t/>
  </si>
  <si>
    <t>RAP 2 Information:</t>
  </si>
  <si>
    <t>RAP 1 Information:</t>
  </si>
  <si>
    <t>RAP 3 Information:</t>
  </si>
  <si>
    <t>As Per Plan?</t>
  </si>
  <si>
    <t>** RICE DETERMINATION OF MAX SPECIFIC GRAVITY **</t>
  </si>
  <si>
    <t>RAP 1 (Gse)</t>
  </si>
  <si>
    <t>RAP 2 (Gse)</t>
  </si>
  <si>
    <t>RAP 3 (Gse)</t>
  </si>
  <si>
    <t xml:space="preserve">       % BINDER</t>
  </si>
  <si>
    <t>●</t>
  </si>
  <si>
    <t>Type A - Polyester</t>
  </si>
  <si>
    <t>% by weight of mix</t>
  </si>
  <si>
    <t>Air Voids @ Opt. Binder</t>
  </si>
  <si>
    <t>VMA @ Opt. Binder</t>
  </si>
  <si>
    <t>Unit Weight @ Opt. Binder</t>
  </si>
  <si>
    <t>Stability @ Opt. Binder</t>
  </si>
  <si>
    <t>Flow @ Opt. Binder</t>
  </si>
  <si>
    <t>Max. Theo. @ Opt. Binder</t>
  </si>
  <si>
    <t xml:space="preserve">RAP Method:  </t>
  </si>
  <si>
    <t>Method</t>
  </si>
  <si>
    <t>App. Rate</t>
  </si>
  <si>
    <t>JMF Summary (Page 1 out of 2)</t>
  </si>
  <si>
    <t>JMF Summary (Page 2 out of 2)</t>
  </si>
  <si>
    <t>PG 64-28 SBR</t>
  </si>
  <si>
    <t>PG 58-28 Neat</t>
  </si>
  <si>
    <t>PG 64-22 Neat</t>
  </si>
  <si>
    <t>PG 64-28 Neat</t>
  </si>
  <si>
    <t>PG 64-28 PPA</t>
  </si>
  <si>
    <t>PG 64-28 SBS</t>
  </si>
  <si>
    <t>PG 70-22M SBS</t>
  </si>
  <si>
    <t>PG 70-22M SBR</t>
  </si>
  <si>
    <t>PG 70-22M GTR</t>
  </si>
  <si>
    <t>PG 76-22M SBS</t>
  </si>
  <si>
    <t>PG 76-22M SBR</t>
  </si>
  <si>
    <t>PG 76-22M GTR</t>
  </si>
  <si>
    <t>PG 88-22M SBS</t>
  </si>
  <si>
    <t>1017022M</t>
  </si>
  <si>
    <t>1017622M</t>
  </si>
  <si>
    <t>1018822M</t>
  </si>
  <si>
    <t>1016428R</t>
  </si>
  <si>
    <t>1017022R</t>
  </si>
  <si>
    <t>1017622R</t>
  </si>
  <si>
    <t>1017022GTR</t>
  </si>
  <si>
    <t>1017622GTR</t>
  </si>
  <si>
    <t>PG 88-22M TPAM</t>
  </si>
  <si>
    <t>Material Code</t>
  </si>
  <si>
    <t>1016428</t>
  </si>
  <si>
    <t>Limestone</t>
  </si>
  <si>
    <t>ACBF Slag</t>
  </si>
  <si>
    <t>Total</t>
  </si>
  <si>
    <t>Coarse Aggregates</t>
  </si>
  <si>
    <t>Fine Aggregates</t>
  </si>
  <si>
    <t>Binder PG Grade</t>
  </si>
  <si>
    <t>Adams</t>
  </si>
  <si>
    <t>Allen</t>
  </si>
  <si>
    <t>Ashland</t>
  </si>
  <si>
    <t>Ashtabula</t>
  </si>
  <si>
    <t>Athens</t>
  </si>
  <si>
    <t>Auglaize</t>
  </si>
  <si>
    <t>Belmont</t>
  </si>
  <si>
    <t>Brown</t>
  </si>
  <si>
    <t>Butler</t>
  </si>
  <si>
    <t>Carroll</t>
  </si>
  <si>
    <t>Champaign</t>
  </si>
  <si>
    <t>Clark</t>
  </si>
  <si>
    <t>Clermont</t>
  </si>
  <si>
    <t>Clinton</t>
  </si>
  <si>
    <t>Columbiana</t>
  </si>
  <si>
    <t>Coshocton</t>
  </si>
  <si>
    <t>Crawford</t>
  </si>
  <si>
    <t>Cuyahoga</t>
  </si>
  <si>
    <t>Darke</t>
  </si>
  <si>
    <t>Defiance</t>
  </si>
  <si>
    <t>Delaware</t>
  </si>
  <si>
    <t>Erie</t>
  </si>
  <si>
    <t>Fairfield</t>
  </si>
  <si>
    <t>Fayette</t>
  </si>
  <si>
    <t>Franklin</t>
  </si>
  <si>
    <t>Fulton</t>
  </si>
  <si>
    <t>Gallia</t>
  </si>
  <si>
    <t>Geauga</t>
  </si>
  <si>
    <t>Greene</t>
  </si>
  <si>
    <t>Guernsey</t>
  </si>
  <si>
    <t>Hamilton</t>
  </si>
  <si>
    <t>Hancock</t>
  </si>
  <si>
    <t>Hardin</t>
  </si>
  <si>
    <t>Harrison</t>
  </si>
  <si>
    <t>Henry</t>
  </si>
  <si>
    <t>Highland</t>
  </si>
  <si>
    <t>Hocking</t>
  </si>
  <si>
    <t>Holmes</t>
  </si>
  <si>
    <t>Huron</t>
  </si>
  <si>
    <t>Jackson</t>
  </si>
  <si>
    <t>Jefferson</t>
  </si>
  <si>
    <t>Knox</t>
  </si>
  <si>
    <t>Lake</t>
  </si>
  <si>
    <t>Lawrence</t>
  </si>
  <si>
    <t>Licking</t>
  </si>
  <si>
    <t>Logan</t>
  </si>
  <si>
    <t>Lorain</t>
  </si>
  <si>
    <t>Lucas</t>
  </si>
  <si>
    <t>Madison</t>
  </si>
  <si>
    <t>Mahoning</t>
  </si>
  <si>
    <t>Marion</t>
  </si>
  <si>
    <t>Medina</t>
  </si>
  <si>
    <t>Meigs</t>
  </si>
  <si>
    <t>Mercer</t>
  </si>
  <si>
    <t>Miami</t>
  </si>
  <si>
    <t>Monroe</t>
  </si>
  <si>
    <t>Montgomery</t>
  </si>
  <si>
    <t>Morgan</t>
  </si>
  <si>
    <t>Morrow</t>
  </si>
  <si>
    <t>Muskingum</t>
  </si>
  <si>
    <t>Noble</t>
  </si>
  <si>
    <t>Ottawa</t>
  </si>
  <si>
    <t>Paulding</t>
  </si>
  <si>
    <t>Perry</t>
  </si>
  <si>
    <t>Pickaway</t>
  </si>
  <si>
    <t>Pike</t>
  </si>
  <si>
    <t>Preble</t>
  </si>
  <si>
    <t>Putnam</t>
  </si>
  <si>
    <t>Richland</t>
  </si>
  <si>
    <t>Ross</t>
  </si>
  <si>
    <t>Sandusky</t>
  </si>
  <si>
    <t>Scioto</t>
  </si>
  <si>
    <t>Seneca</t>
  </si>
  <si>
    <t>Shelby</t>
  </si>
  <si>
    <t>Stark</t>
  </si>
  <si>
    <t>Summit</t>
  </si>
  <si>
    <t>Trumbull</t>
  </si>
  <si>
    <t>Tuscarawas</t>
  </si>
  <si>
    <t>Union</t>
  </si>
  <si>
    <t>Van Wert</t>
  </si>
  <si>
    <t>Vinton</t>
  </si>
  <si>
    <t>Warren</t>
  </si>
  <si>
    <t>Washington</t>
  </si>
  <si>
    <t>Wayne</t>
  </si>
  <si>
    <t>Williams</t>
  </si>
  <si>
    <t>Wood</t>
  </si>
  <si>
    <t>Wyandot</t>
  </si>
  <si>
    <t>County</t>
  </si>
  <si>
    <t>District</t>
  </si>
  <si>
    <t>09</t>
  </si>
  <si>
    <t>01</t>
  </si>
  <si>
    <t>03</t>
  </si>
  <si>
    <t>04</t>
  </si>
  <si>
    <t>10</t>
  </si>
  <si>
    <t>07</t>
  </si>
  <si>
    <t>11</t>
  </si>
  <si>
    <t>08</t>
  </si>
  <si>
    <t>05</t>
  </si>
  <si>
    <t>12</t>
  </si>
  <si>
    <t>06</t>
  </si>
  <si>
    <t>02</t>
  </si>
  <si>
    <t>Districts</t>
  </si>
  <si>
    <t>Counties</t>
  </si>
  <si>
    <t>Plant 1 ID:</t>
  </si>
  <si>
    <t>Type C - Aramid</t>
  </si>
  <si>
    <t>lbs of total fibers per ton of mix</t>
  </si>
  <si>
    <t>Gsb</t>
  </si>
  <si>
    <t>% Pure Aramid in Total Fibers</t>
  </si>
  <si>
    <t>App. Rate                           of Pure Aramid</t>
  </si>
  <si>
    <t>lbs of pure Aramid per ton of mix</t>
  </si>
  <si>
    <t>oz of pure Aramid per ton of mix</t>
  </si>
  <si>
    <t>Blend Proportions:</t>
  </si>
  <si>
    <t>FIBER PLUS-6010</t>
  </si>
  <si>
    <t>Brand Name</t>
  </si>
  <si>
    <t>61801</t>
  </si>
  <si>
    <t>61802B</t>
  </si>
  <si>
    <t>FIBER PLUS-3010</t>
  </si>
  <si>
    <t>61802C</t>
  </si>
  <si>
    <t>Type B - Polypropylene</t>
  </si>
  <si>
    <t>For Type C - Aramid fibers:</t>
  </si>
  <si>
    <t>SSD Allowed?</t>
  </si>
  <si>
    <t>SSD Used?</t>
  </si>
  <si>
    <t>Plant 2 ID:</t>
  </si>
  <si>
    <t>Plant 3 ID:</t>
  </si>
  <si>
    <t>Yes</t>
  </si>
  <si>
    <t>101TPAM</t>
  </si>
  <si>
    <t xml:space="preserve">Does RAP contain materials from non-ODOT projects?  </t>
  </si>
  <si>
    <t>% PASS.</t>
  </si>
  <si>
    <t xml:space="preserve">DATE:    </t>
  </si>
  <si>
    <t>Aggregate Source</t>
  </si>
  <si>
    <t xml:space="preserve">Agg. Composition:  </t>
  </si>
  <si>
    <t>RAP 1</t>
  </si>
  <si>
    <t>RAP 2</t>
  </si>
  <si>
    <t>RAP 3</t>
  </si>
  <si>
    <t xml:space="preserve">QC plan submitted for this year?   </t>
  </si>
  <si>
    <t>Color Coding:</t>
  </si>
  <si>
    <t>The following color coding is used in this JMF packet:</t>
  </si>
  <si>
    <t xml:space="preserve">  For data entries that need to be typed.</t>
  </si>
  <si>
    <t xml:space="preserve">  For options selected from a dropdown list.</t>
  </si>
  <si>
    <t xml:space="preserve">  For cells that copy information from another cell.</t>
  </si>
  <si>
    <t xml:space="preserve">  For cells that include a formula.</t>
  </si>
  <si>
    <t xml:space="preserve">Comments: </t>
  </si>
  <si>
    <t xml:space="preserve">RAP Stockpile Location: </t>
  </si>
  <si>
    <t xml:space="preserve">RAP Tested At: </t>
  </si>
  <si>
    <t xml:space="preserve">RAP Tested By: </t>
  </si>
  <si>
    <t xml:space="preserve">RAP Test Date: </t>
  </si>
  <si>
    <t xml:space="preserve">RAP Binder Specific Gravity: </t>
  </si>
  <si>
    <t xml:space="preserve">For RAPs obtained from ODOT projects, enter Project IDs: </t>
  </si>
  <si>
    <t xml:space="preserve">For RAPs containing materials from non-ODOT projects, enter RAP Agg. Soundness: </t>
  </si>
  <si>
    <t>Spec_Year</t>
  </si>
  <si>
    <t>N/A</t>
  </si>
  <si>
    <t>=</t>
  </si>
  <si>
    <t>Type of Fibers</t>
  </si>
  <si>
    <t>Fibers Brand Name</t>
  </si>
  <si>
    <t>Polymer?</t>
  </si>
  <si>
    <t>LPA Project?</t>
  </si>
  <si>
    <t>Format: xx-xxxx (for ODOT projects)</t>
  </si>
  <si>
    <t xml:space="preserve">DATE: </t>
  </si>
  <si>
    <t>ton/cubic yd</t>
  </si>
  <si>
    <t>% CA</t>
  </si>
  <si>
    <t>% FA</t>
  </si>
  <si>
    <t>% RAP</t>
  </si>
  <si>
    <t xml:space="preserve">  For cells that cannot be modified.</t>
  </si>
  <si>
    <t>*Determine                            RAP gravity                            by Rice Method; Show Part 1                            above for test                            run on RAP</t>
  </si>
  <si>
    <t>SS_800_Date</t>
  </si>
  <si>
    <t>Last Modified</t>
  </si>
  <si>
    <t>Proposal Line Number(s)</t>
  </si>
  <si>
    <t>Initial Approval Date:</t>
  </si>
  <si>
    <t>Approval Expiration Date:</t>
  </si>
  <si>
    <t xml:space="preserve">JMF submission date:   </t>
  </si>
  <si>
    <t>Mix Producer Name:</t>
  </si>
  <si>
    <t>Mix Producer/Suppler Code:</t>
  </si>
  <si>
    <t xml:space="preserve">Approval:   </t>
  </si>
  <si>
    <t>Approval Level:</t>
  </si>
  <si>
    <t>Mix Producer</t>
  </si>
  <si>
    <t>Mix contains SS-826 fibers?</t>
  </si>
  <si>
    <t>Pile Name</t>
  </si>
  <si>
    <t>Slag</t>
  </si>
  <si>
    <t>PILE NAME:</t>
  </si>
  <si>
    <t>Baghouse Fines</t>
  </si>
  <si>
    <t>BF</t>
  </si>
  <si>
    <t>Construction Project No.:</t>
  </si>
  <si>
    <t>Contract ID:</t>
  </si>
  <si>
    <t>Format: three digit county + PID (for ODOT projects) or LPA + PID (for local projects)</t>
  </si>
  <si>
    <t xml:space="preserve">Mix producer and plant info.:   </t>
  </si>
  <si>
    <t>JMF No.:</t>
  </si>
  <si>
    <t>Calibration No.:</t>
  </si>
  <si>
    <t>Project No.</t>
  </si>
  <si>
    <t>No. of Blows</t>
  </si>
  <si>
    <t>Has this mix design been previously approved? If "Yes", please provide the following information:</t>
  </si>
  <si>
    <t>Mix contains anti-strip additives?</t>
  </si>
  <si>
    <t>Producer Name</t>
  </si>
  <si>
    <t xml:space="preserve">Dosage Rate </t>
  </si>
  <si>
    <t>Performance Test Results</t>
  </si>
  <si>
    <t>TSR Required?</t>
  </si>
  <si>
    <t>APA Required?</t>
  </si>
  <si>
    <t>Rut Depth at 8,000 Cycles</t>
  </si>
  <si>
    <t>Mix info:</t>
  </si>
  <si>
    <t>IDEAL-CT Required?</t>
  </si>
  <si>
    <t>mm</t>
  </si>
  <si>
    <t>Hamburg Required?</t>
  </si>
  <si>
    <t>Stripping inflection point (SIP)</t>
  </si>
  <si>
    <t>SOURCE_NM</t>
  </si>
  <si>
    <t>DESCR</t>
  </si>
  <si>
    <t>TYPE</t>
  </si>
  <si>
    <t>GEOGRAPHICAREA</t>
  </si>
  <si>
    <t>LOCATIONDESCRIPTION</t>
  </si>
  <si>
    <t>40001-01</t>
  </si>
  <si>
    <t>Gerken Co. - Bluffton, OH</t>
  </si>
  <si>
    <t>AGG</t>
  </si>
  <si>
    <t>40002-01</t>
  </si>
  <si>
    <t>Holcim - Paulding, OH</t>
  </si>
  <si>
    <t>Dolostone</t>
  </si>
  <si>
    <t>40004-01</t>
  </si>
  <si>
    <t>Olen Corp - Upper Sandusky, OH</t>
  </si>
  <si>
    <t>40004A-01</t>
  </si>
  <si>
    <t>40004B-01</t>
  </si>
  <si>
    <t>40005-01</t>
  </si>
  <si>
    <t>U.S. Aggregates - Decatur, IN</t>
  </si>
  <si>
    <t>40006-01</t>
  </si>
  <si>
    <t>National Lime &amp; Stone - Carey, OH</t>
  </si>
  <si>
    <t>40007-01</t>
  </si>
  <si>
    <t>National L&amp;S - Findlay, OH</t>
  </si>
  <si>
    <t>40008-01</t>
  </si>
  <si>
    <t>National L&amp;S - Lima, OH</t>
  </si>
  <si>
    <t>40008B-01</t>
  </si>
  <si>
    <t>40011-01</t>
  </si>
  <si>
    <t>National L&amp;S - Ottawa, OH</t>
  </si>
  <si>
    <t>40012-01</t>
  </si>
  <si>
    <t>Stoneco - Oakwood, OH</t>
  </si>
  <si>
    <t>40013-01</t>
  </si>
  <si>
    <t>Stoneco - Convoy, OH</t>
  </si>
  <si>
    <t>40015-01</t>
  </si>
  <si>
    <t>National L&amp;S - Delphos, OH</t>
  </si>
  <si>
    <t>40017-01</t>
  </si>
  <si>
    <t>Stoneco - Carey, OH</t>
  </si>
  <si>
    <t>40019-01</t>
  </si>
  <si>
    <t>National Lime &amp; Stone - Upper Sandusky, OH</t>
  </si>
  <si>
    <t>Sand &amp; Gravel</t>
  </si>
  <si>
    <t>40020-01</t>
  </si>
  <si>
    <t>Shelly Materials - Forest, OH</t>
  </si>
  <si>
    <t>40023-01</t>
  </si>
  <si>
    <t>Kirby S&amp;G - Upper Sandusky, OH</t>
  </si>
  <si>
    <t>40023B-01</t>
  </si>
  <si>
    <t>40025-01</t>
  </si>
  <si>
    <t>Heidelberg Materials - Woodburn, IN</t>
  </si>
  <si>
    <t>40027-01</t>
  </si>
  <si>
    <t>National L&amp;S - Rimer, OH</t>
  </si>
  <si>
    <t>40030-01</t>
  </si>
  <si>
    <t>40032-01</t>
  </si>
  <si>
    <t>U.S. Aggregates - Portland, IN</t>
  </si>
  <si>
    <t>40033-01</t>
  </si>
  <si>
    <t>U.S. Aggregates - Ridgeville, IN</t>
  </si>
  <si>
    <t>40035-01</t>
  </si>
  <si>
    <t>Stone Street Quarries - Garrett, IN</t>
  </si>
  <si>
    <t>40036-01</t>
  </si>
  <si>
    <t>Stone Street Quarries - Hoagland, IN</t>
  </si>
  <si>
    <t>40999-01</t>
  </si>
  <si>
    <t>AASHTO Resource - Fredrick, MD</t>
  </si>
  <si>
    <t>Proficiency Sample Data</t>
  </si>
  <si>
    <t>41003-01</t>
  </si>
  <si>
    <t>Stoneco - Portage, OH</t>
  </si>
  <si>
    <t>41005-01</t>
  </si>
  <si>
    <t>Lafarge - Marblehead, OH</t>
  </si>
  <si>
    <t>41006-01</t>
  </si>
  <si>
    <t>Martin Marietta - Woodville, OH</t>
  </si>
  <si>
    <t>41007-01</t>
  </si>
  <si>
    <t>Maple Grove Materials - Tiffin, OH</t>
  </si>
  <si>
    <t>41008-01</t>
  </si>
  <si>
    <t>Gerken - West Millgrove, OH</t>
  </si>
  <si>
    <t>41008A-01</t>
  </si>
  <si>
    <t>41009-01</t>
  </si>
  <si>
    <t>Precision Agg - Fremont, OH</t>
  </si>
  <si>
    <t>41010-01</t>
  </si>
  <si>
    <t>Heidelberg Materials - Waterville, OH</t>
  </si>
  <si>
    <t>41010B-01</t>
  </si>
  <si>
    <t>41011-01</t>
  </si>
  <si>
    <t>Heidelberg Materials - Sylvania, OH</t>
  </si>
  <si>
    <t>41013-01</t>
  </si>
  <si>
    <t>Gerken - Custar, OH</t>
  </si>
  <si>
    <t>Limestone (Lower Bench)</t>
  </si>
  <si>
    <t>41013A-01</t>
  </si>
  <si>
    <t>Limestone (Upper Bench)</t>
  </si>
  <si>
    <t>41014-01</t>
  </si>
  <si>
    <t>Heidelberg Materials - Bloomville, OH</t>
  </si>
  <si>
    <t>41016-01</t>
  </si>
  <si>
    <t>Stoneco - Clay Center, OH</t>
  </si>
  <si>
    <t>41017-01</t>
  </si>
  <si>
    <t>Weber Sand &amp; Gravel - Edgerton, OH</t>
  </si>
  <si>
    <t>41018-01</t>
  </si>
  <si>
    <t>Gerken CO - Genoa, OH</t>
  </si>
  <si>
    <t>41020-01</t>
  </si>
  <si>
    <t>Gerken - Waldron, OH</t>
  </si>
  <si>
    <t>Sand and Gravel</t>
  </si>
  <si>
    <t>41020A-01</t>
  </si>
  <si>
    <t>Sand &amp; Gravel (Crushed)</t>
  </si>
  <si>
    <t>41022-01</t>
  </si>
  <si>
    <t>Gerken - Addison, MI</t>
  </si>
  <si>
    <t>41022A-01</t>
  </si>
  <si>
    <t>41023-01</t>
  </si>
  <si>
    <t>Stoneco - Maumee, OH</t>
  </si>
  <si>
    <t>41023B-01</t>
  </si>
  <si>
    <t>Dolostone: Upper Bench</t>
  </si>
  <si>
    <t>41026-01</t>
  </si>
  <si>
    <t>Smelter Bay Sand - Marysville, MI</t>
  </si>
  <si>
    <t>Indirect-Out-of-State / Sand &amp; Gravel</t>
  </si>
  <si>
    <t>41028-01</t>
  </si>
  <si>
    <t>Gerken - Clinton, MI</t>
  </si>
  <si>
    <t>41031-01</t>
  </si>
  <si>
    <t>Stoneco of Michigan - Horton, MI</t>
  </si>
  <si>
    <t>41032-01</t>
  </si>
  <si>
    <t>Stoneco of Michigan - Ottawa Lake, MI</t>
  </si>
  <si>
    <t>41033-01</t>
  </si>
  <si>
    <t>Precision Agg - Portage, OH</t>
  </si>
  <si>
    <t>41035-01</t>
  </si>
  <si>
    <t>Stafford Gravel - Butler, IN</t>
  </si>
  <si>
    <t>41039-01</t>
  </si>
  <si>
    <t>Heidelberg Materials Midwest Agg. - Angola, IN</t>
  </si>
  <si>
    <t>41044-01</t>
  </si>
  <si>
    <t>Ontario Trap Rock - Ontario, Canada</t>
  </si>
  <si>
    <t>Trap Rock</t>
  </si>
  <si>
    <t>41047-01</t>
  </si>
  <si>
    <t>Fulton Mill - Delta, OH</t>
  </si>
  <si>
    <t>Slag (EAF Steel)</t>
  </si>
  <si>
    <t>41047A-01</t>
  </si>
  <si>
    <t>41056-01</t>
  </si>
  <si>
    <t>Gerken - Glacial S&amp;G, MI</t>
  </si>
  <si>
    <t>41056A-01</t>
  </si>
  <si>
    <t>41058-01</t>
  </si>
  <si>
    <t>Cardinal Agg - Perrysburg, OH</t>
  </si>
  <si>
    <t>41059-01</t>
  </si>
  <si>
    <t>Gerken - Tecumseh, MI</t>
  </si>
  <si>
    <t>41060-01</t>
  </si>
  <si>
    <t>Stoneco of Michigan - Ann Arbor</t>
  </si>
  <si>
    <t>41061-01</t>
  </si>
  <si>
    <t>Clifford Aggregate - Angola, IN</t>
  </si>
  <si>
    <t>41062-01</t>
  </si>
  <si>
    <t>Clifford Aggregate - Wolcottville, IN</t>
  </si>
  <si>
    <t>41063-01</t>
  </si>
  <si>
    <t>Area Aggregates - Woodville, OH</t>
  </si>
  <si>
    <t>41063A-01</t>
  </si>
  <si>
    <t>41065-01</t>
  </si>
  <si>
    <t>E.S. Wagner - Perrysburg, OH</t>
  </si>
  <si>
    <t>Recycled Concrete</t>
  </si>
  <si>
    <t>41066-01</t>
  </si>
  <si>
    <t>Wylie &amp; Sons Landscaping - Perrysburg, OH</t>
  </si>
  <si>
    <t>41069-01</t>
  </si>
  <si>
    <t>Stoneco of Michigan - Ann Arbor, MI</t>
  </si>
  <si>
    <t>41070-01</t>
  </si>
  <si>
    <t>Fremont Sand &amp; Gravel - Fremont, IN</t>
  </si>
  <si>
    <t>41801-01</t>
  </si>
  <si>
    <t>Yard</t>
  </si>
  <si>
    <t>41802-01</t>
  </si>
  <si>
    <t>Midwest Terminals - Toledo, OH</t>
  </si>
  <si>
    <t>41803-01</t>
  </si>
  <si>
    <t>Gerken - Pioneer, OH</t>
  </si>
  <si>
    <t>41804-01</t>
  </si>
  <si>
    <t>Gerken - Stony Ridge, OH</t>
  </si>
  <si>
    <t>41805-01</t>
  </si>
  <si>
    <t>Gerken - Sylvania, OH</t>
  </si>
  <si>
    <t>41806-01</t>
  </si>
  <si>
    <t>Bergman - Perrysburg, OH</t>
  </si>
  <si>
    <t>41807-01</t>
  </si>
  <si>
    <t>Gerken - Delta, OH</t>
  </si>
  <si>
    <t>42001-01</t>
  </si>
  <si>
    <t>Youngs S &amp; G - Loudonville, OH</t>
  </si>
  <si>
    <t>42002-01</t>
  </si>
  <si>
    <t>National L&amp;S - Bucyrus, OH</t>
  </si>
  <si>
    <t>42002A-01</t>
  </si>
  <si>
    <t>42004A-01</t>
  </si>
  <si>
    <t>Heidelberg Materials - Sandusky, OH</t>
  </si>
  <si>
    <t>42005A-01</t>
  </si>
  <si>
    <t>Heidelberg Materials - Castalia, OH</t>
  </si>
  <si>
    <t>42005B-01</t>
  </si>
  <si>
    <t>Limestone (North Region)</t>
  </si>
  <si>
    <t>42005C-01</t>
  </si>
  <si>
    <t>Limestone (Bench 3 &amp; 5 Blend)</t>
  </si>
  <si>
    <t>42005D-01</t>
  </si>
  <si>
    <t>Limestone (Bench 5)</t>
  </si>
  <si>
    <t>42006-01</t>
  </si>
  <si>
    <t>Erie Materials - Sandusky, OH</t>
  </si>
  <si>
    <t>42012-01</t>
  </si>
  <si>
    <t>Mar-Zane Materials - Perrysville, OH</t>
  </si>
  <si>
    <t>42012A-01</t>
  </si>
  <si>
    <t>42014-01</t>
  </si>
  <si>
    <t>Rupp Construction - Marshallville, OH</t>
  </si>
  <si>
    <t>42015-01</t>
  </si>
  <si>
    <t>Olen Corp - Wooster, OH</t>
  </si>
  <si>
    <t>42015A-01</t>
  </si>
  <si>
    <t>42015B-01</t>
  </si>
  <si>
    <t>Sandstone</t>
  </si>
  <si>
    <t>42801-01</t>
  </si>
  <si>
    <t>National L&amp;S - Wooster, OH</t>
  </si>
  <si>
    <t>42802-01</t>
  </si>
  <si>
    <t>Holcim - Lorain, OH</t>
  </si>
  <si>
    <t>42803-01</t>
  </si>
  <si>
    <t>Shelly Materials - Medina, OH</t>
  </si>
  <si>
    <t>42804-01</t>
  </si>
  <si>
    <t>Osborne - Medina, OH</t>
  </si>
  <si>
    <t>42805-01</t>
  </si>
  <si>
    <t>Osborne - Lodi, OH</t>
  </si>
  <si>
    <t>42806-01</t>
  </si>
  <si>
    <t>Carmeuse - Lorain, OH</t>
  </si>
  <si>
    <t>43003-01</t>
  </si>
  <si>
    <t>American S&amp;G - Massillon, OH</t>
  </si>
  <si>
    <t>43005-01</t>
  </si>
  <si>
    <t>Beck Sand &amp; Gravel - Ravenna, OH</t>
  </si>
  <si>
    <t>43006-01</t>
  </si>
  <si>
    <t>Oscar Brugmann Sand &amp; Gravel - Mantua, OH</t>
  </si>
  <si>
    <t>43007-01</t>
  </si>
  <si>
    <t>Stoneco - Canton, OH</t>
  </si>
  <si>
    <t>43007A-01</t>
  </si>
  <si>
    <t>43010-01</t>
  </si>
  <si>
    <t>Northern Aggregates - Mineral Ridge, OH</t>
  </si>
  <si>
    <t>Slag (Granulated)</t>
  </si>
  <si>
    <t>43011-01</t>
  </si>
  <si>
    <t>Heidelberg Materials - Bessemer, PA</t>
  </si>
  <si>
    <t>43012-01</t>
  </si>
  <si>
    <t>Core Aggregates - Kent, OH</t>
  </si>
  <si>
    <t>43014-01</t>
  </si>
  <si>
    <t>East Fairfield Coal - Petersburg, OH</t>
  </si>
  <si>
    <t>43015-01</t>
  </si>
  <si>
    <t>Hugo Sand Company - Kent, OH</t>
  </si>
  <si>
    <t>43016-01</t>
  </si>
  <si>
    <t>Shelly Materials - Streetsboro, OH</t>
  </si>
  <si>
    <t>43019-01</t>
  </si>
  <si>
    <t>Lakeland Aggregates - Conneaut Lake, PA</t>
  </si>
  <si>
    <t>43020-01</t>
  </si>
  <si>
    <t>Lakeside Sand &amp; Gravel - Mantua, OH</t>
  </si>
  <si>
    <t>43025-01</t>
  </si>
  <si>
    <t>Oster S &amp; G - Massillon, OH</t>
  </si>
  <si>
    <t>43026-01</t>
  </si>
  <si>
    <t>Allega - Richfield, OH</t>
  </si>
  <si>
    <t>43028-01</t>
  </si>
  <si>
    <t>City Stone - Milton Township, OH</t>
  </si>
  <si>
    <t>43035-01</t>
  </si>
  <si>
    <t>RW Sidley - Kingsville, OH</t>
  </si>
  <si>
    <t>43037-01</t>
  </si>
  <si>
    <t>Slippery Rock Materials - Volant, PA</t>
  </si>
  <si>
    <t>43039-01</t>
  </si>
  <si>
    <t>Allied Corp. - Massillon, OH</t>
  </si>
  <si>
    <t>43044-01</t>
  </si>
  <si>
    <t>Tiger S &amp; G - Massillon, OH</t>
  </si>
  <si>
    <t>43044B-01</t>
  </si>
  <si>
    <t>43047-01</t>
  </si>
  <si>
    <t>Acme Resources Inc - Warren, OH</t>
  </si>
  <si>
    <t>43048-01</t>
  </si>
  <si>
    <t>Brier Hill Slag - Youngstown, OH</t>
  </si>
  <si>
    <t>43050-01</t>
  </si>
  <si>
    <t>Shenango - Jamestown, PA</t>
  </si>
  <si>
    <t>43052-01</t>
  </si>
  <si>
    <t>Massillon Materials - Massillon, OH</t>
  </si>
  <si>
    <t>43052A-01</t>
  </si>
  <si>
    <t>43053-01</t>
  </si>
  <si>
    <t>City Slag - Hermitage, PA</t>
  </si>
  <si>
    <t>43063-01</t>
  </si>
  <si>
    <t>Holcim (Duquesne) - West Mifflin, PA</t>
  </si>
  <si>
    <t>Slag (ACBF)</t>
  </si>
  <si>
    <t>43072-01</t>
  </si>
  <si>
    <t>Stoneco / Allied Corp - Petersburg, OH</t>
  </si>
  <si>
    <t>43073-01</t>
  </si>
  <si>
    <t>Mar-Zane Materials - Ravenna, OH</t>
  </si>
  <si>
    <t>43073A-01</t>
  </si>
  <si>
    <t>43075-01</t>
  </si>
  <si>
    <t>Three Rivers Aggregates - Slippery Rock, PA</t>
  </si>
  <si>
    <t>43076-01</t>
  </si>
  <si>
    <t>Allegheny Mineral - Slippery Rock, PA</t>
  </si>
  <si>
    <t>43077-01</t>
  </si>
  <si>
    <t>Rootstown S &amp; G - Ravenna, OH</t>
  </si>
  <si>
    <t>43078-01</t>
  </si>
  <si>
    <t>Ballentine S&amp;G - Ravenna, OH</t>
  </si>
  <si>
    <t>43079-01</t>
  </si>
  <si>
    <t>Massillon Materials "Warmington Rd"- Massillon, OH</t>
  </si>
  <si>
    <t>43080-01</t>
  </si>
  <si>
    <t>Simak Trucking &amp; Excavating - North Kingsville, OH</t>
  </si>
  <si>
    <t>43081-01</t>
  </si>
  <si>
    <t>American S&amp;G High Mill - Massillon, OH</t>
  </si>
  <si>
    <t>43084-01</t>
  </si>
  <si>
    <t>Amerikohl Aggregates - New Castle, PA</t>
  </si>
  <si>
    <t>43085-01</t>
  </si>
  <si>
    <t>Allegheny Mineral - Harrisville, PA</t>
  </si>
  <si>
    <t>43086-01</t>
  </si>
  <si>
    <t>Amerikohl Aggregates - Ellwood City, PA</t>
  </si>
  <si>
    <t>43088-01</t>
  </si>
  <si>
    <t>Three Rivers Aggregates - Wampum, PA</t>
  </si>
  <si>
    <t>43092-01</t>
  </si>
  <si>
    <t>Allegheny Mineral - Princeton, PA</t>
  </si>
  <si>
    <t>43094-01</t>
  </si>
  <si>
    <t>Subtropolis Mining - Petersburg, OH</t>
  </si>
  <si>
    <t>43094A-01</t>
  </si>
  <si>
    <t>43095-01</t>
  </si>
  <si>
    <t>43096-01</t>
  </si>
  <si>
    <t>Doren - Taylor, PA</t>
  </si>
  <si>
    <t>43097-01</t>
  </si>
  <si>
    <t>D &amp; K Materials - Mogadore, OH</t>
  </si>
  <si>
    <t>43801-01</t>
  </si>
  <si>
    <t>National L&amp;S - Massillon, OH</t>
  </si>
  <si>
    <t>43802-01</t>
  </si>
  <si>
    <t>Shelly Materials - Twinsburg, OH</t>
  </si>
  <si>
    <t>43803-01</t>
  </si>
  <si>
    <t>Shelly Materials - Alliance, OH</t>
  </si>
  <si>
    <t>43804-01</t>
  </si>
  <si>
    <t>National Lime &amp; Stone - Akron, OH</t>
  </si>
  <si>
    <t>43805-01</t>
  </si>
  <si>
    <t>National L&amp;S - Canton, OH</t>
  </si>
  <si>
    <t>43806-01</t>
  </si>
  <si>
    <t>Osborne - Akron, OH</t>
  </si>
  <si>
    <t>43807-01</t>
  </si>
  <si>
    <t>Shelly Materials - Kent, OH</t>
  </si>
  <si>
    <t>43808-01</t>
  </si>
  <si>
    <t>Shelly Materials - Copley, OH</t>
  </si>
  <si>
    <t>43809-01</t>
  </si>
  <si>
    <t>National Lime &amp; Stone - Erie, PA</t>
  </si>
  <si>
    <t>43810-01</t>
  </si>
  <si>
    <t>Carmeuse - Erie Dock, PA</t>
  </si>
  <si>
    <t>43811-01</t>
  </si>
  <si>
    <t>P &amp; C Dock - Conneaut, OH</t>
  </si>
  <si>
    <t>43812-01</t>
  </si>
  <si>
    <t>Kinder Morgan / Pinney Dock - Ashtabula, OH</t>
  </si>
  <si>
    <t>43813-01</t>
  </si>
  <si>
    <t>City Materials - Youngstown, OH</t>
  </si>
  <si>
    <t>43814-01</t>
  </si>
  <si>
    <t>City Materials - Lordstown, OH</t>
  </si>
  <si>
    <t>44002-01</t>
  </si>
  <si>
    <t>Shelly Materials - Dresden, OH</t>
  </si>
  <si>
    <t>44003-01</t>
  </si>
  <si>
    <t>Shelly Materials - Coshocton, OH</t>
  </si>
  <si>
    <t>44003A-01</t>
  </si>
  <si>
    <t>44003B-01</t>
  </si>
  <si>
    <t>44003C-01</t>
  </si>
  <si>
    <t>44005-01</t>
  </si>
  <si>
    <t>United Agg - Danville, OH</t>
  </si>
  <si>
    <t>44007-01</t>
  </si>
  <si>
    <t>Shelly Materials - St. Louisville, OH</t>
  </si>
  <si>
    <t>44009-01</t>
  </si>
  <si>
    <t>United Agg - Mt. Vernon, OH</t>
  </si>
  <si>
    <t>44010-01</t>
  </si>
  <si>
    <t>Olen Corp - St. Louisville, OH</t>
  </si>
  <si>
    <t>44010B-01</t>
  </si>
  <si>
    <t>Sand &amp; Gravel (Blended W/ Shelly-Columbus Limestone)</t>
  </si>
  <si>
    <t>44010C-01</t>
  </si>
  <si>
    <t>Sand &amp; Gravel (Blended W/ Olen-Columbus Limestone)</t>
  </si>
  <si>
    <t>44013-01</t>
  </si>
  <si>
    <t>Shelly Materials - East Fultonham, OH</t>
  </si>
  <si>
    <t>44013A-01</t>
  </si>
  <si>
    <t>Limestone (Blended W/ Shelly-Columbus Limestone 75:25)</t>
  </si>
  <si>
    <t>44013B-01</t>
  </si>
  <si>
    <t>Limestone (Blended W/ Shelly-St. Louisville 50:50)</t>
  </si>
  <si>
    <t>44016-01</t>
  </si>
  <si>
    <t>Mar-Zane Materials - Zanesville, OH</t>
  </si>
  <si>
    <t>44016A-01</t>
  </si>
  <si>
    <t>44018-01</t>
  </si>
  <si>
    <t>Cumberland Limestone - Cumberland, OH</t>
  </si>
  <si>
    <t>44019-01</t>
  </si>
  <si>
    <t>Smalls S &amp; G - Gambier, OH</t>
  </si>
  <si>
    <t>44019A-01</t>
  </si>
  <si>
    <t>44019B-01</t>
  </si>
  <si>
    <t>44020-01</t>
  </si>
  <si>
    <t>Olen Corp - Fredericktown, OH</t>
  </si>
  <si>
    <t>44020A-01</t>
  </si>
  <si>
    <t>44023-01</t>
  </si>
  <si>
    <t>Razor Lake S &amp; G - Newcomerstown, OH</t>
  </si>
  <si>
    <t>44030-01</t>
  </si>
  <si>
    <t>Shelly Materials - Alexandria, OH</t>
  </si>
  <si>
    <t>44032-01</t>
  </si>
  <si>
    <t>William Albert - Coshocton, OH</t>
  </si>
  <si>
    <t>44035-01</t>
  </si>
  <si>
    <t>Maysville Materials - Mount Perry, OH</t>
  </si>
  <si>
    <t>44036-01</t>
  </si>
  <si>
    <t>Melvin Stone - Corning, OH</t>
  </si>
  <si>
    <t>44038-01</t>
  </si>
  <si>
    <t>Clark Clay - Newcomerstown, OH</t>
  </si>
  <si>
    <t>44039-01</t>
  </si>
  <si>
    <t>Coshocton Materials - Coshocton, OH</t>
  </si>
  <si>
    <t>44040-01</t>
  </si>
  <si>
    <t>Toboso Aggregate - Heath, OH</t>
  </si>
  <si>
    <t>44801-01</t>
  </si>
  <si>
    <t>National Lime &amp; Stone - Coshocton, OH</t>
  </si>
  <si>
    <t>44802-01</t>
  </si>
  <si>
    <t>National L&amp;S - Cambridge, OH</t>
  </si>
  <si>
    <t>44803-01</t>
  </si>
  <si>
    <t>Shelly Materials - Derwent, OH</t>
  </si>
  <si>
    <t>44804-01</t>
  </si>
  <si>
    <t>Shelly Materials - Lancaster, OH</t>
  </si>
  <si>
    <t>44805-01</t>
  </si>
  <si>
    <t>Mar-Zane Materials - Byesville, OH</t>
  </si>
  <si>
    <t>45002-01</t>
  </si>
  <si>
    <t>Shelly Materials- Grove City, OH</t>
  </si>
  <si>
    <t>45002B-01</t>
  </si>
  <si>
    <t>Shelly Materials - Grove City, OH</t>
  </si>
  <si>
    <t>Limestone (Blended W/ Shelly-St.Louisville Gaverl 60:40)</t>
  </si>
  <si>
    <t>45002C-01</t>
  </si>
  <si>
    <t>Limestone (Blended W/ Shelly-Columbus Gaverl 60:40)</t>
  </si>
  <si>
    <t>45002D-01</t>
  </si>
  <si>
    <t>Limestone (Blended W/ Shelly-Lockbourne 60:40)</t>
  </si>
  <si>
    <t>45002E-01</t>
  </si>
  <si>
    <t>Limestone (Blended W/ Shelly-South Bloomfield 60:40)</t>
  </si>
  <si>
    <t>45003-01</t>
  </si>
  <si>
    <t>45004-01</t>
  </si>
  <si>
    <t>Shelly Materials "Marble Cliff" - Hilliard, OH</t>
  </si>
  <si>
    <t>45005-01</t>
  </si>
  <si>
    <t>National L&amp;S - Delaware, OH</t>
  </si>
  <si>
    <t>45005B-01</t>
  </si>
  <si>
    <t>45009-01</t>
  </si>
  <si>
    <t>Olen Corp - Columbus, OH</t>
  </si>
  <si>
    <t>Sand &amp; Gravel (100% Crushed)</t>
  </si>
  <si>
    <t>45009A-01</t>
  </si>
  <si>
    <t>Sand &amp; Gravel (Benefited: 40% Crushed)</t>
  </si>
  <si>
    <t>45009B-01</t>
  </si>
  <si>
    <t>45011-01</t>
  </si>
  <si>
    <t>Melvin Stone - New Holland, OH</t>
  </si>
  <si>
    <t>45012-01</t>
  </si>
  <si>
    <t>National L&amp;S - Marion, OH</t>
  </si>
  <si>
    <t>45012A-01</t>
  </si>
  <si>
    <t>45013-01</t>
  </si>
  <si>
    <t>Shelly Materials - West Mansfield, OH</t>
  </si>
  <si>
    <t>45016-01</t>
  </si>
  <si>
    <t>Tuffco Sand &amp; Gravel - Plain City, OH</t>
  </si>
  <si>
    <t>45016A-01</t>
  </si>
  <si>
    <t>45019-01</t>
  </si>
  <si>
    <t>Shelly Materials - Ostrander, OH</t>
  </si>
  <si>
    <t>45021-01</t>
  </si>
  <si>
    <t>National Lime &amp; Stone - Chesterville, OH</t>
  </si>
  <si>
    <t>45023-01</t>
  </si>
  <si>
    <t>Shelly Materials - Lockbourne, OH</t>
  </si>
  <si>
    <t>45026-01</t>
  </si>
  <si>
    <t>Melvin Stone - Circleville, OH</t>
  </si>
  <si>
    <t>45026A-01</t>
  </si>
  <si>
    <t>Sand &amp; Gravel (100 % Crush)</t>
  </si>
  <si>
    <t>45035-01</t>
  </si>
  <si>
    <t>Westfall Agg &amp; Materials - Circleville, OH</t>
  </si>
  <si>
    <t>45038-01</t>
  </si>
  <si>
    <t>45040-01</t>
  </si>
  <si>
    <t>Phoenix Services - Marion, OH</t>
  </si>
  <si>
    <t>45041-01</t>
  </si>
  <si>
    <t>National Lime &amp; Stone - Lockbourne, OH</t>
  </si>
  <si>
    <t>45043-01</t>
  </si>
  <si>
    <t>46001-01</t>
  </si>
  <si>
    <t>Martin Marietta - Fairborn, OH</t>
  </si>
  <si>
    <t>46002A-01</t>
  </si>
  <si>
    <t>Walls Materials - Greenville, OH</t>
  </si>
  <si>
    <t>46004-01</t>
  </si>
  <si>
    <t>Martin Marietta - Brookville, OH</t>
  </si>
  <si>
    <t>46007-01</t>
  </si>
  <si>
    <t>Martin Marietta - Troy, OH</t>
  </si>
  <si>
    <t>46008-01</t>
  </si>
  <si>
    <t>Barrett Paving - Fairborn, OH</t>
  </si>
  <si>
    <t>46008A-01</t>
  </si>
  <si>
    <t>46009-01</t>
  </si>
  <si>
    <t>Barrett Paving - Ludlow Falls, OH</t>
  </si>
  <si>
    <t>46011-01</t>
  </si>
  <si>
    <t>Enon S &amp; G - Springfield, OH</t>
  </si>
  <si>
    <t>46012-01</t>
  </si>
  <si>
    <t>Milton Materials - Ludlow Falls, OH</t>
  </si>
  <si>
    <t>46013-01</t>
  </si>
  <si>
    <t>Barrett Paving Materials - Miamisburg, OH</t>
  </si>
  <si>
    <t>46013A-01</t>
  </si>
  <si>
    <t>46014-01</t>
  </si>
  <si>
    <t>Phillips Companies - Vandalia, OH</t>
  </si>
  <si>
    <t>46015-01</t>
  </si>
  <si>
    <t>Piqua Materials - Piqua, OH</t>
  </si>
  <si>
    <t>46022-01</t>
  </si>
  <si>
    <t>Stoneco - Celina, OH</t>
  </si>
  <si>
    <t>46022A-01</t>
  </si>
  <si>
    <t>46022B-01</t>
  </si>
  <si>
    <t>46023B-01</t>
  </si>
  <si>
    <t>Barrett Paving Materials - Sidney, OH</t>
  </si>
  <si>
    <t>46024-01</t>
  </si>
  <si>
    <t>46026-01</t>
  </si>
  <si>
    <t>Shelly Materials - Belle Center, OH</t>
  </si>
  <si>
    <t>46028-01</t>
  </si>
  <si>
    <t>Urbana Materials - Urbana, OH</t>
  </si>
  <si>
    <t>46029-01</t>
  </si>
  <si>
    <t>Neers S &amp; G - Bellefontaine, OH</t>
  </si>
  <si>
    <t>46030-01</t>
  </si>
  <si>
    <t>Fouremans S &amp; G - Greenville, OH</t>
  </si>
  <si>
    <t>46031-01</t>
  </si>
  <si>
    <t>C.F. Poeppelman - Bradford, OH</t>
  </si>
  <si>
    <t>46032-01</t>
  </si>
  <si>
    <t>Weber Materials - St. Mary's, OH</t>
  </si>
  <si>
    <t>46036B-01</t>
  </si>
  <si>
    <t>National Lime &amp; Stone - Wapakoneta, OH</t>
  </si>
  <si>
    <t>46037-01</t>
  </si>
  <si>
    <t>Mechanicsburg S &amp; G - Mechanicsburg, OH</t>
  </si>
  <si>
    <t>46038-01</t>
  </si>
  <si>
    <t>Duff Quarry - Huntsville, OH</t>
  </si>
  <si>
    <t>46050-01</t>
  </si>
  <si>
    <t>SRM Materials - Germantown, OH</t>
  </si>
  <si>
    <t>46053-01</t>
  </si>
  <si>
    <t>Shelly Materials - Mechanicsburg, OH</t>
  </si>
  <si>
    <t>47003-01</t>
  </si>
  <si>
    <t>Martin Marietta - Fairfield, OH</t>
  </si>
  <si>
    <t>47003A-01</t>
  </si>
  <si>
    <t>47007-01</t>
  </si>
  <si>
    <t>Melvin Stone - Middletown, OH</t>
  </si>
  <si>
    <t>47008-01</t>
  </si>
  <si>
    <t>Martin Marietta - Hamilton, OH</t>
  </si>
  <si>
    <t>47009-01</t>
  </si>
  <si>
    <t>U.S. Aggregates - Richmond, IN</t>
  </si>
  <si>
    <t>47011-01</t>
  </si>
  <si>
    <t>Martin Marietta - Xenia, OH</t>
  </si>
  <si>
    <t>47019-01</t>
  </si>
  <si>
    <t>Hilltop Basic - Patriot, IN</t>
  </si>
  <si>
    <t>47019A-01</t>
  </si>
  <si>
    <t>47021-01</t>
  </si>
  <si>
    <t>Melvin Stone - Wilmington, OH</t>
  </si>
  <si>
    <t>47023-01</t>
  </si>
  <si>
    <t>Miami View Mining - Morrow, OH</t>
  </si>
  <si>
    <t>47024-01</t>
  </si>
  <si>
    <t>Oeder &amp; Sons S &amp; G - Lebanon, OH</t>
  </si>
  <si>
    <t>47025-01</t>
  </si>
  <si>
    <t>Phillips Companies - Xenia, OH</t>
  </si>
  <si>
    <t>47026-01</t>
  </si>
  <si>
    <t>Martin Marietta - Trenton, OH</t>
  </si>
  <si>
    <t>47029-01</t>
  </si>
  <si>
    <t>Watson Gravel - Hamilton, OH</t>
  </si>
  <si>
    <t>47030-01</t>
  </si>
  <si>
    <t>Eagle Materials - Germantown, OH</t>
  </si>
  <si>
    <t>47032-01</t>
  </si>
  <si>
    <t>mistake</t>
  </si>
  <si>
    <t>Indirect-Out-of-State / Limestone</t>
  </si>
  <si>
    <t>47033-01</t>
  </si>
  <si>
    <t>Welch S &amp; G - Harrison, OH</t>
  </si>
  <si>
    <t>47034-01</t>
  </si>
  <si>
    <t>Wysong Gravel - Camden, OH</t>
  </si>
  <si>
    <t>47035-01</t>
  </si>
  <si>
    <t>Barrett Paving Materials - Lewisburg, OH</t>
  </si>
  <si>
    <t>47036-01</t>
  </si>
  <si>
    <t>Wysong Gravel - West Alexandria, OH</t>
  </si>
  <si>
    <t>47037-01</t>
  </si>
  <si>
    <t>Martin Marietta - Cedarville, OH</t>
  </si>
  <si>
    <t>47038-01</t>
  </si>
  <si>
    <t>Carmeuse - Maysville, KY</t>
  </si>
  <si>
    <t>47040-01</t>
  </si>
  <si>
    <t>Haydon Materials - Battletown, KY</t>
  </si>
  <si>
    <t>47041-01</t>
  </si>
  <si>
    <t>Carmeuse - Butler, KY</t>
  </si>
  <si>
    <t>47044-01</t>
  </si>
  <si>
    <t>Watson Gravel - Middletown, OH</t>
  </si>
  <si>
    <t>47045-01</t>
  </si>
  <si>
    <t>Northern Kentucky Agg - Petersburg, KY</t>
  </si>
  <si>
    <t>47045A-01</t>
  </si>
  <si>
    <t>47047-01</t>
  </si>
  <si>
    <t>Barrett Paving - Richmond, IN</t>
  </si>
  <si>
    <t>47047A-01</t>
  </si>
  <si>
    <t>47049-01</t>
  </si>
  <si>
    <t>Martin Marietta - North Bend, OH</t>
  </si>
  <si>
    <t>47050-01</t>
  </si>
  <si>
    <t>Irving Materials - Connersville, IN</t>
  </si>
  <si>
    <t>47069-01</t>
  </si>
  <si>
    <t>Mulzer Crushed Stone - Mauckport, IN</t>
  </si>
  <si>
    <t>47071-01</t>
  </si>
  <si>
    <t>Hilltop Basic - Battletown, KY</t>
  </si>
  <si>
    <t>47072-01</t>
  </si>
  <si>
    <t>Heidelberg Material Midwest Agg. - Cleves, OH</t>
  </si>
  <si>
    <t>47076-01</t>
  </si>
  <si>
    <t>Heidelberg Materials - Versailles, IN</t>
  </si>
  <si>
    <t>47077-01</t>
  </si>
  <si>
    <t>Melvin Stone - Sabina, OH</t>
  </si>
  <si>
    <t>47079-01</t>
  </si>
  <si>
    <t>Watson Gravel - Harrison, OH</t>
  </si>
  <si>
    <t>47082-01</t>
  </si>
  <si>
    <t>Martin Marietta - Petersburg, KY</t>
  </si>
  <si>
    <t>47083-01</t>
  </si>
  <si>
    <t>Hilltop Basic - Butler, KY</t>
  </si>
  <si>
    <t>47083A-01</t>
  </si>
  <si>
    <t>47084-01</t>
  </si>
  <si>
    <t>Martin Marietta - Spring Valley, OH</t>
  </si>
  <si>
    <t>47087-01</t>
  </si>
  <si>
    <t>Watson Gravel - Cleves, OH</t>
  </si>
  <si>
    <t>47088-01</t>
  </si>
  <si>
    <t>Evans S &amp; G - Cincinnati, OH</t>
  </si>
  <si>
    <t>47089-01</t>
  </si>
  <si>
    <t>Sterling - Verona, KY</t>
  </si>
  <si>
    <t>47090-01</t>
  </si>
  <si>
    <t>MJ Coates - Spring Valley, OH</t>
  </si>
  <si>
    <t>47091-01</t>
  </si>
  <si>
    <t>Arch Materials - Batavia, OH</t>
  </si>
  <si>
    <t>47091A-01</t>
  </si>
  <si>
    <t>Limestone (Bench 2)</t>
  </si>
  <si>
    <t>47092-01</t>
  </si>
  <si>
    <t>Irving Materials - Cambridge City, IN</t>
  </si>
  <si>
    <t>47093-01</t>
  </si>
  <si>
    <t>Valley Asphalt - Cincinnati, OH</t>
  </si>
  <si>
    <t>47094-01</t>
  </si>
  <si>
    <t>Melvin Stone - Xenia, OH</t>
  </si>
  <si>
    <t>47095-01</t>
  </si>
  <si>
    <t>Yager Materials - Owensboro, KY</t>
  </si>
  <si>
    <t>47096-01</t>
  </si>
  <si>
    <t>47801-01</t>
  </si>
  <si>
    <t>Lehigh Hanson - Batavia, OH</t>
  </si>
  <si>
    <t>47802-01</t>
  </si>
  <si>
    <t>Hilltop Basic - Cincinnati, OH</t>
  </si>
  <si>
    <t>47803-01</t>
  </si>
  <si>
    <t>Hilltop Basic Resources - Cincinnati, OH</t>
  </si>
  <si>
    <t>47804-01</t>
  </si>
  <si>
    <t>Martin Marietta - Cincinnati, OH</t>
  </si>
  <si>
    <t>47805-01</t>
  </si>
  <si>
    <t>Melvin Stone - Cincinnati, OH</t>
  </si>
  <si>
    <t>47806-01</t>
  </si>
  <si>
    <t>Melvin Stone - Harrison, OH</t>
  </si>
  <si>
    <t>47807-01</t>
  </si>
  <si>
    <t>Cincinnati Bulk Terminals</t>
  </si>
  <si>
    <t>47808-01</t>
  </si>
  <si>
    <t>Lehigh Hanson - Milford, OH</t>
  </si>
  <si>
    <t>48003-01</t>
  </si>
  <si>
    <t>BCE Materials - Wheelersburg, OH</t>
  </si>
  <si>
    <t>48004-01</t>
  </si>
  <si>
    <t>Shelly Materials - Chillicothe, OH</t>
  </si>
  <si>
    <t>48005-01</t>
  </si>
  <si>
    <t>South Central S &amp; G - Piketon, OH</t>
  </si>
  <si>
    <t>48007-01</t>
  </si>
  <si>
    <t>Mar-Zane Materials - Chillicothe, OH</t>
  </si>
  <si>
    <t>48007A-01</t>
  </si>
  <si>
    <t>48011-01</t>
  </si>
  <si>
    <t>Heidelberg Materials Midwest Agg. - Piketon, OH</t>
  </si>
  <si>
    <t>48016-01</t>
  </si>
  <si>
    <t>Mountain Materials - Olive Hill, KY</t>
  </si>
  <si>
    <t>48018-01</t>
  </si>
  <si>
    <t>Latham Limestone - Latham, OH</t>
  </si>
  <si>
    <t>48019-01</t>
  </si>
  <si>
    <t>Ohio Asphaltic Limestone - Hillsboro, OH</t>
  </si>
  <si>
    <t>48020-01</t>
  </si>
  <si>
    <t>Heidelberg Materials - Peebles, OH</t>
  </si>
  <si>
    <t>48022-01</t>
  </si>
  <si>
    <t>Melvin Stone - Oak Hill, OH</t>
  </si>
  <si>
    <t>48028-01</t>
  </si>
  <si>
    <t>48028A-01</t>
  </si>
  <si>
    <t>48033-01</t>
  </si>
  <si>
    <t>Heidelberg Materials - Winchester, OH</t>
  </si>
  <si>
    <t>48036-01</t>
  </si>
  <si>
    <t>Melvin Stone - Washington Court House, OH</t>
  </si>
  <si>
    <t>48037-01</t>
  </si>
  <si>
    <t>Heidelberg Materials - Grayson, KY</t>
  </si>
  <si>
    <t>48037A-01</t>
  </si>
  <si>
    <t>48038-01</t>
  </si>
  <si>
    <t>Tow Path Materials - Lucasville, OH</t>
  </si>
  <si>
    <t>48039-01</t>
  </si>
  <si>
    <t>Ervin Hill - Hillsboro, OH</t>
  </si>
  <si>
    <t>48041-01</t>
  </si>
  <si>
    <t>Tow Path Materials - Frankfort, OH</t>
  </si>
  <si>
    <t>48045-01</t>
  </si>
  <si>
    <t>River Sand &amp; Gravel - Vanceburg, KY</t>
  </si>
  <si>
    <t>48047-01</t>
  </si>
  <si>
    <t>Elko Aggregate - Wellston, OH</t>
  </si>
  <si>
    <t>48048-01</t>
  </si>
  <si>
    <t>Marshall Quarry - Hillsboro, OH</t>
  </si>
  <si>
    <t>48050-01</t>
  </si>
  <si>
    <t>Tow Path Materials - Chillicothe, OH</t>
  </si>
  <si>
    <t>48051-01</t>
  </si>
  <si>
    <t>48801-01</t>
  </si>
  <si>
    <t>Carmeuse Lime &amp; Stone - Maysville, KY</t>
  </si>
  <si>
    <t>48802-01</t>
  </si>
  <si>
    <t>Latham LS - Oak Hill, OH</t>
  </si>
  <si>
    <t>48803-01</t>
  </si>
  <si>
    <t>Mar-Zane Materials - Richmond Dale, OH</t>
  </si>
  <si>
    <t>49003-01</t>
  </si>
  <si>
    <t>Mar-Zane Materials - Haydenville, OH</t>
  </si>
  <si>
    <t>49003A-01</t>
  </si>
  <si>
    <t>49007-01</t>
  </si>
  <si>
    <t>Melvin Stone - Wellston, OH</t>
  </si>
  <si>
    <t>49012-01</t>
  </si>
  <si>
    <t>Letart - Gallipolis Ferry, WV</t>
  </si>
  <si>
    <t>49015-01</t>
  </si>
  <si>
    <t>Martin Marietta - Racine, OH</t>
  </si>
  <si>
    <t>49027-01</t>
  </si>
  <si>
    <t>Hocking Valley Concrete - Logan, OH</t>
  </si>
  <si>
    <t>49032-01</t>
  </si>
  <si>
    <t>Mulzer Crushed Stone - Cape Sandy, IN</t>
  </si>
  <si>
    <t>49033-01</t>
  </si>
  <si>
    <t>Mulzer Crushed Stone - Charlestown, IN</t>
  </si>
  <si>
    <t>49037-01</t>
  </si>
  <si>
    <t>Riverside - Battletown, KY</t>
  </si>
  <si>
    <t>49037A-01</t>
  </si>
  <si>
    <t>49045-01</t>
  </si>
  <si>
    <t>Shelly Materials - Reedsville, OH</t>
  </si>
  <si>
    <t>49047-01</t>
  </si>
  <si>
    <t>King Quarries - Caldwell, OH</t>
  </si>
  <si>
    <t>49048-01</t>
  </si>
  <si>
    <t>Shelly Materials - Marietta, OH</t>
  </si>
  <si>
    <t>49048A-01</t>
  </si>
  <si>
    <t>49049-01</t>
  </si>
  <si>
    <t>Greer - Morgantown, WV</t>
  </si>
  <si>
    <t>49050-01</t>
  </si>
  <si>
    <t>Belpre S&amp;G - Little Hocking, OH</t>
  </si>
  <si>
    <t>49050A-01</t>
  </si>
  <si>
    <t>49053-01</t>
  </si>
  <si>
    <t>KCI Sand &amp; Gravel - Logan, OH</t>
  </si>
  <si>
    <t>49054-01</t>
  </si>
  <si>
    <t>Martin Marietta - Petroleum, WV</t>
  </si>
  <si>
    <t>49058-01</t>
  </si>
  <si>
    <t>Shelly Materials - Portland, OH</t>
  </si>
  <si>
    <t>49059A-01</t>
  </si>
  <si>
    <t>Mar-Zane Materials - Logan, OH</t>
  </si>
  <si>
    <t>49059B-01</t>
  </si>
  <si>
    <t>49060-01</t>
  </si>
  <si>
    <t>L &amp; K Stone - Belpre, OH</t>
  </si>
  <si>
    <t>49061-01</t>
  </si>
  <si>
    <t>Mckee Materials - Nelsonville, OH</t>
  </si>
  <si>
    <t>49062-01</t>
  </si>
  <si>
    <t>ELKO Aggregate - Guysville, OH</t>
  </si>
  <si>
    <t>49062A-01</t>
  </si>
  <si>
    <t>49064-01</t>
  </si>
  <si>
    <t>McKee Materials - Nelsonville, OH</t>
  </si>
  <si>
    <t>49801-01</t>
  </si>
  <si>
    <t>Martin Marietta - Parkersburg, WV</t>
  </si>
  <si>
    <t>49802-01</t>
  </si>
  <si>
    <t>Martin Marietta - Ravenswood, WV</t>
  </si>
  <si>
    <t>49803-01</t>
  </si>
  <si>
    <t>Martin Marietta - New Martinsville, WV</t>
  </si>
  <si>
    <t>49804-01</t>
  </si>
  <si>
    <t>Shelly Materials - Belpre, OH</t>
  </si>
  <si>
    <t>49805-01</t>
  </si>
  <si>
    <t>Smith Concrete - Marietta, OH</t>
  </si>
  <si>
    <t>49806-01</t>
  </si>
  <si>
    <t>Shelly Materials - Gallipolis, OH</t>
  </si>
  <si>
    <t>49807-01</t>
  </si>
  <si>
    <t>Mar-Zane Materials - Marietta, OH</t>
  </si>
  <si>
    <t>49808-01</t>
  </si>
  <si>
    <t>Diamond Stone - Albany, OH</t>
  </si>
  <si>
    <t>49809-01</t>
  </si>
  <si>
    <t>National Lime &amp; Stone - Williamstown, WV</t>
  </si>
  <si>
    <t>49810-01</t>
  </si>
  <si>
    <t>National Lime &amp; Stone - Sardis, OH</t>
  </si>
  <si>
    <t>49811-01</t>
  </si>
  <si>
    <t>Melvin Stone - Logan, OH</t>
  </si>
  <si>
    <t>49812-01</t>
  </si>
  <si>
    <t>Ohio River Agg - Clarington, OH</t>
  </si>
  <si>
    <t>49813-01</t>
  </si>
  <si>
    <t>Mar-Zane Materials - St. Mary's, WV</t>
  </si>
  <si>
    <t>49814-01</t>
  </si>
  <si>
    <t>Yager Materials - Matamoras, OH</t>
  </si>
  <si>
    <t>50002-01</t>
  </si>
  <si>
    <t>Phoenix Services - Mingo Junction, OH</t>
  </si>
  <si>
    <t>Slag (BO Steel)</t>
  </si>
  <si>
    <t>50009-01</t>
  </si>
  <si>
    <t>Feikert S &amp; G - Fredericksburg, OH</t>
  </si>
  <si>
    <t>50016-01</t>
  </si>
  <si>
    <t>Kimble Clay &amp; Limestone - Dover, OH</t>
  </si>
  <si>
    <t>50017-01</t>
  </si>
  <si>
    <t>Holmes Redimix Concrete - Millersburg, OH</t>
  </si>
  <si>
    <t>50017C-01</t>
  </si>
  <si>
    <t>50027-01</t>
  </si>
  <si>
    <t>Oster Sand &amp; Gravel - Bolivar, OH</t>
  </si>
  <si>
    <t>50029-01</t>
  </si>
  <si>
    <t>Sidwell Materials - New Philadelphia, OH</t>
  </si>
  <si>
    <t>50038-01</t>
  </si>
  <si>
    <t>Stocker S &amp; G "Pt. Washington" - Gnadenhutten, OH</t>
  </si>
  <si>
    <t>50038A-01</t>
  </si>
  <si>
    <t>50039-01</t>
  </si>
  <si>
    <t>XL S &amp; G - Negley, OH</t>
  </si>
  <si>
    <t>50057-01</t>
  </si>
  <si>
    <t>Holmes Supply - Holmesville, OH</t>
  </si>
  <si>
    <t>50057C-01</t>
  </si>
  <si>
    <t>50062-01</t>
  </si>
  <si>
    <t>Sidwell Materials - St. Clairsville, OH</t>
  </si>
  <si>
    <t>50064-01</t>
  </si>
  <si>
    <t>Phoenix Asphalt - Magnolia, OH</t>
  </si>
  <si>
    <t>50066-01</t>
  </si>
  <si>
    <t>Sidwell Materials - Cadiz, OH</t>
  </si>
  <si>
    <t>50069-01</t>
  </si>
  <si>
    <t>Soehnlen Brothers Sand &amp; Gravel - Beach City, OH</t>
  </si>
  <si>
    <t>50074-01</t>
  </si>
  <si>
    <t>50075-01</t>
  </si>
  <si>
    <t>Stocker S &amp; G - Gnadenhutten, OH</t>
  </si>
  <si>
    <t>50075A-01</t>
  </si>
  <si>
    <t>50076-01</t>
  </si>
  <si>
    <t>Lehigh Hanson - Connellsville, PA</t>
  </si>
  <si>
    <t>50077-01</t>
  </si>
  <si>
    <t>Georgetown S &amp; G - Georgetown, PA</t>
  </si>
  <si>
    <t>50078-01</t>
  </si>
  <si>
    <t>Kimble Clay &amp; Limestone - Bolivar, OH</t>
  </si>
  <si>
    <t>50079-01</t>
  </si>
  <si>
    <t>Massillon Materials - Bolivar, OH</t>
  </si>
  <si>
    <t>50801-01</t>
  </si>
  <si>
    <t>Mar-Zane Materials - Benwood, WV</t>
  </si>
  <si>
    <t>50802-01</t>
  </si>
  <si>
    <t>Mar-Zane Materials - Bethesda, OH</t>
  </si>
  <si>
    <t>50803-01</t>
  </si>
  <si>
    <t>National Lime &amp; Stone - New Philadelphia, OH</t>
  </si>
  <si>
    <t>50804-01</t>
  </si>
  <si>
    <t>Mar-Zane Materials - Weirton, WV</t>
  </si>
  <si>
    <t>50805-01</t>
  </si>
  <si>
    <t>National Lime &amp; Stone - Martins Ferry, OH</t>
  </si>
  <si>
    <t>50806-01</t>
  </si>
  <si>
    <t>Ohio River Agg - Moundsville, WV</t>
  </si>
  <si>
    <t>50807-01</t>
  </si>
  <si>
    <t>National Lime &amp; Stone - Cadiz, OH</t>
  </si>
  <si>
    <t>50808-01</t>
  </si>
  <si>
    <t>Sidwell Materials - Bellaire, OH</t>
  </si>
  <si>
    <t>50809-01</t>
  </si>
  <si>
    <t>Mar-Zane Materials - Rayland, OH</t>
  </si>
  <si>
    <t>50810-01</t>
  </si>
  <si>
    <t>Swank Yard-Tridelphia</t>
  </si>
  <si>
    <t>50811-01</t>
  </si>
  <si>
    <t>Heidelberg Materials - Coraopolis, PA</t>
  </si>
  <si>
    <t>50812-01</t>
  </si>
  <si>
    <t>Yager Materials - Egypt Valley, OH</t>
  </si>
  <si>
    <t>50813-01</t>
  </si>
  <si>
    <t>Griffeth &amp; Son Trucking - Carrollton, OH</t>
  </si>
  <si>
    <t>50814-01</t>
  </si>
  <si>
    <t>Yager Materials - Rayland, Ohio</t>
  </si>
  <si>
    <t>51006-01</t>
  </si>
  <si>
    <t>Carmeuse - Gulliver, MI</t>
  </si>
  <si>
    <t>51007-01</t>
  </si>
  <si>
    <t>Best Sand - Chardon, OH</t>
  </si>
  <si>
    <t>51009-01</t>
  </si>
  <si>
    <t>Lafarge - Presque Isle, MI</t>
  </si>
  <si>
    <t>51011-01</t>
  </si>
  <si>
    <t>Drummond Isle Stone - Drummond, MI</t>
  </si>
  <si>
    <t>51012-01</t>
  </si>
  <si>
    <t>Rankin Construction - Port Colborne, ON</t>
  </si>
  <si>
    <t>51013-01</t>
  </si>
  <si>
    <t>RW Sidley - Thompson, OH</t>
  </si>
  <si>
    <t>51014-01</t>
  </si>
  <si>
    <t>Lafarge - Manitoulin, ON</t>
  </si>
  <si>
    <t>51015-01</t>
  </si>
  <si>
    <t>Carmeuse - Cedarville, MI</t>
  </si>
  <si>
    <t>51016-01</t>
  </si>
  <si>
    <t>Carmeuse - Rogers City, MI</t>
  </si>
  <si>
    <t>51047-01</t>
  </si>
  <si>
    <t>Stein - Cleveland, OH</t>
  </si>
  <si>
    <t>51052-01</t>
  </si>
  <si>
    <t>Allega Recycled Material &amp; Supply - Cleveland, OH</t>
  </si>
  <si>
    <t>51055-01</t>
  </si>
  <si>
    <t>Allega - Painesville, OH</t>
  </si>
  <si>
    <t>51056-01</t>
  </si>
  <si>
    <t>Independence Excavating - Cleveland, OH</t>
  </si>
  <si>
    <t>51801-01</t>
  </si>
  <si>
    <t>Shelly Materials - Cleveland, OH</t>
  </si>
  <si>
    <t>51802-01</t>
  </si>
  <si>
    <t>Carmeuse Americas - Cleveland, OH</t>
  </si>
  <si>
    <t>51803-01</t>
  </si>
  <si>
    <t>Holcim - Cleveland</t>
  </si>
  <si>
    <t>51804-01</t>
  </si>
  <si>
    <t>National L&amp;S - Cleveland, OH</t>
  </si>
  <si>
    <t>51805-01</t>
  </si>
  <si>
    <t>51806-01</t>
  </si>
  <si>
    <t>51807-01</t>
  </si>
  <si>
    <t>Osborne Concrete &amp; Stone - Grand River, OH</t>
  </si>
  <si>
    <t>51808-01</t>
  </si>
  <si>
    <t>RW Sidley - Ashtabula, OH</t>
  </si>
  <si>
    <t>51809-01</t>
  </si>
  <si>
    <t>Osborne - Cleveland, OH</t>
  </si>
  <si>
    <t>51810-01</t>
  </si>
  <si>
    <t>Area Agg - Cleveland, OH</t>
  </si>
  <si>
    <t>51811-01</t>
  </si>
  <si>
    <t>Holcim - Cleveland, OH</t>
  </si>
  <si>
    <t>51812-01</t>
  </si>
  <si>
    <t>Jab Supply Corporation - Wickliffe, OH</t>
  </si>
  <si>
    <t>51813-01</t>
  </si>
  <si>
    <t>Carmeuse - Grand River, OH</t>
  </si>
  <si>
    <t>% BF</t>
  </si>
  <si>
    <t>RAP 1 Analysis</t>
  </si>
  <si>
    <t>Format: Pile Name = Year + Company Name + Plant/Location + Screen Size + GR (if contains coarse gravel) + A,B,C,D,E,F,G (depending on how many stockpiles)</t>
  </si>
  <si>
    <r>
      <t>RTFO-aged RAP Binder High Critical Temperature (DSR G*/Sin</t>
    </r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 xml:space="preserve"> </t>
    </r>
    <r>
      <rPr>
        <sz val="10"/>
        <rFont val="Symbol"/>
        <family val="1"/>
        <charset val="2"/>
      </rPr>
      <t>³</t>
    </r>
    <r>
      <rPr>
        <sz val="6"/>
        <rFont val="Arial"/>
        <family val="2"/>
      </rPr>
      <t xml:space="preserve"> </t>
    </r>
    <r>
      <rPr>
        <sz val="10"/>
        <rFont val="Arial"/>
        <family val="2"/>
      </rPr>
      <t xml:space="preserve">2.2 kPa): </t>
    </r>
  </si>
  <si>
    <t>Source Cd</t>
  </si>
  <si>
    <t>ODOT
Gsb</t>
  </si>
  <si>
    <t>MAX DENSITY LINE</t>
  </si>
  <si>
    <t>PROJECT NO.:</t>
  </si>
  <si>
    <t xml:space="preserve">PROJECT NO.: </t>
  </si>
  <si>
    <t xml:space="preserve">Avg Pb </t>
  </si>
  <si>
    <t>PART 1 (RAP)</t>
  </si>
  <si>
    <t xml:space="preserve">RAP Gse = (Pmm-Pb)/((Pmm/F)-(Pb/Gb)) </t>
  </si>
  <si>
    <t xml:space="preserve">Avg F </t>
  </si>
  <si>
    <t xml:space="preserve">RAP Binder Spec. Gr. </t>
  </si>
  <si>
    <t>Testing Temperature</t>
  </si>
  <si>
    <t>Number of Cycles</t>
  </si>
  <si>
    <t>Type of Antistrip Additive</t>
  </si>
  <si>
    <t>RPBR</t>
  </si>
  <si>
    <t>RAP Blending</t>
  </si>
  <si>
    <t>PG Grade</t>
  </si>
  <si>
    <t>Target Low Grade</t>
  </si>
  <si>
    <t>Target High Grade</t>
  </si>
  <si>
    <t xml:space="preserve">Target Binder PG Grade </t>
  </si>
  <si>
    <t xml:space="preserve">Total AC: </t>
  </si>
  <si>
    <t>Total RAP:</t>
  </si>
  <si>
    <t xml:space="preserve">Avg. AC% in RAP: </t>
  </si>
  <si>
    <t xml:space="preserve">RPBR: </t>
  </si>
  <si>
    <t xml:space="preserve">Low Critical Temperature, C: </t>
  </si>
  <si>
    <t>Ver 0.1</t>
  </si>
  <si>
    <t>AWP PS Code</t>
  </si>
  <si>
    <t>Aggregate Size</t>
  </si>
  <si>
    <t>Bulk Dry</t>
  </si>
  <si>
    <t>Absorption</t>
  </si>
  <si>
    <t>008</t>
  </si>
  <si>
    <t>009</t>
  </si>
  <si>
    <t>057</t>
  </si>
  <si>
    <t>SD5</t>
  </si>
  <si>
    <t>SD2</t>
  </si>
  <si>
    <t>004M</t>
  </si>
  <si>
    <t>010</t>
  </si>
  <si>
    <t>078M</t>
  </si>
  <si>
    <t>304</t>
  </si>
  <si>
    <t>004</t>
  </si>
  <si>
    <t>007M</t>
  </si>
  <si>
    <t>009M</t>
  </si>
  <si>
    <t>068</t>
  </si>
  <si>
    <t>006</t>
  </si>
  <si>
    <t>010M</t>
  </si>
  <si>
    <t>067</t>
  </si>
  <si>
    <t>089M</t>
  </si>
  <si>
    <t>RAL</t>
  </si>
  <si>
    <t>603</t>
  </si>
  <si>
    <t>008M</t>
  </si>
  <si>
    <t>SD5M</t>
  </si>
  <si>
    <t>467M</t>
  </si>
  <si>
    <t>67M</t>
  </si>
  <si>
    <t>411</t>
  </si>
  <si>
    <t>007</t>
  </si>
  <si>
    <t>RBL</t>
  </si>
  <si>
    <t>089</t>
  </si>
  <si>
    <t>057M</t>
  </si>
  <si>
    <t>SD23</t>
  </si>
  <si>
    <t>467</t>
  </si>
  <si>
    <t>SD2/SD5</t>
  </si>
  <si>
    <t>SD3M</t>
  </si>
  <si>
    <t>078</t>
  </si>
  <si>
    <t>67</t>
  </si>
  <si>
    <t>067M</t>
  </si>
  <si>
    <t>SD3</t>
  </si>
  <si>
    <t>49006-01</t>
  </si>
  <si>
    <t>003M</t>
  </si>
  <si>
    <t>SD2M</t>
  </si>
  <si>
    <t>1/2</t>
  </si>
  <si>
    <t>1/4</t>
  </si>
  <si>
    <t>3/4</t>
  </si>
  <si>
    <t>7/16</t>
  </si>
  <si>
    <t>49007A-01</t>
  </si>
  <si>
    <t>PS Code + Agg Size</t>
  </si>
  <si>
    <t>ODOT 
Gsb</t>
  </si>
  <si>
    <t>Avg. CTindex (Short-Term Oven Aged)</t>
  </si>
  <si>
    <t>Avg. CTindex (Long-Term Oven Aged)</t>
  </si>
  <si>
    <t xml:space="preserve">St. Dev. </t>
  </si>
  <si>
    <t>Rut Depth at No. of Cycles</t>
  </si>
  <si>
    <t xml:space="preserve">Required Virgin Binder Grade: </t>
  </si>
  <si>
    <t>25913Q-01</t>
  </si>
  <si>
    <t>Mar-Zane - BCJMF</t>
  </si>
  <si>
    <t>12010-01</t>
  </si>
  <si>
    <t>Mar-Zane - Mansfield, OH (Plt #21)</t>
  </si>
  <si>
    <t>13017-01</t>
  </si>
  <si>
    <t>Mar-Zane - Mantua, OH (Plt #11)</t>
  </si>
  <si>
    <t>13023-01</t>
  </si>
  <si>
    <t>Mar-Zane - Warren, OH (Plt #27)</t>
  </si>
  <si>
    <t>13035-01</t>
  </si>
  <si>
    <t>Mar-Zane - Youngstown, OH (Plt #28)</t>
  </si>
  <si>
    <t>25713Q-01</t>
  </si>
  <si>
    <t>Barrett Paving Matls, Inc. - BCJMF</t>
  </si>
  <si>
    <t>16024-01</t>
  </si>
  <si>
    <t>Barrett Paving Matls - Moraine, OH (Plt #100450)</t>
  </si>
  <si>
    <t>16028-01</t>
  </si>
  <si>
    <t>Barrett Paving Matls - W. Carrollton, OH</t>
  </si>
  <si>
    <t>17013-01</t>
  </si>
  <si>
    <t>Barrett Paving Matls - Newtown, OH (Plt #10063)</t>
  </si>
  <si>
    <t>17041-01</t>
  </si>
  <si>
    <t>Barrett Paving Matls - S. Lebanon, OH (Plt #10064)</t>
  </si>
  <si>
    <t>17035-01</t>
  </si>
  <si>
    <t>Barrett Paving Matls - Wilder, KY (Plt #10067)</t>
  </si>
  <si>
    <t>25226Q-01</t>
  </si>
  <si>
    <t>Gerken Materials - BCJMF</t>
  </si>
  <si>
    <t>10002-01</t>
  </si>
  <si>
    <t>Gerken Materials - Oakwood, OH (Plt #21)</t>
  </si>
  <si>
    <t>10004-01</t>
  </si>
  <si>
    <t>Gerken Materials - Ottawa, OH (Plt #05)</t>
  </si>
  <si>
    <t>10005-01</t>
  </si>
  <si>
    <t>Gerken Materials - Bluffton, OH (Plt #03)</t>
  </si>
  <si>
    <t>25406Q-01</t>
  </si>
  <si>
    <t>Shelly Materials - BCJMF</t>
  </si>
  <si>
    <t>10018-01</t>
  </si>
  <si>
    <t>Shelly Materials - Lima, OH (Plt #82)</t>
  </si>
  <si>
    <t>25915Q-01</t>
  </si>
  <si>
    <t>Kokosing Materials, Inc. - BCJMF</t>
  </si>
  <si>
    <t>11805-01</t>
  </si>
  <si>
    <t>Kokosing Materials - Woodville, OH (Portable #521)</t>
  </si>
  <si>
    <t>25008Q-01</t>
  </si>
  <si>
    <t>Brooks Paving - BCJMF</t>
  </si>
  <si>
    <t>10031-01</t>
  </si>
  <si>
    <t>Brooks Construction - Fort Wayne, IN (Plt #01)</t>
  </si>
  <si>
    <t>11802-01</t>
  </si>
  <si>
    <t>Gerken Materials - W. Millgrove, OH (Portable #11)</t>
  </si>
  <si>
    <t>25101Q-01</t>
  </si>
  <si>
    <t>M&amp;B Asphalt Paving - BCJMF</t>
  </si>
  <si>
    <t>11001-01</t>
  </si>
  <si>
    <t>M&amp;B Asphalt Paving - Tiffin, OH (Plt #05)</t>
  </si>
  <si>
    <t>14802-01</t>
  </si>
  <si>
    <t>Shelly Materials - Coshocton, OH (Portable #66)</t>
  </si>
  <si>
    <t>11009-01</t>
  </si>
  <si>
    <t>Gerken Materials - Archbold, OH (Plt #18)</t>
  </si>
  <si>
    <t>15801-01</t>
  </si>
  <si>
    <t>Shelly Materials - Hilliard, OH (Portable - 6Pk)</t>
  </si>
  <si>
    <t>11019-01</t>
  </si>
  <si>
    <t>Gerken Materials - Custar, OH (Plt #12)</t>
  </si>
  <si>
    <t>15802-01</t>
  </si>
  <si>
    <t>Mar-Zane - Grove City, OH (Portable #12)</t>
  </si>
  <si>
    <t>11025-01</t>
  </si>
  <si>
    <t>Gerken Materials - Toledo, OH (Plt #17)</t>
  </si>
  <si>
    <t>11028-01</t>
  </si>
  <si>
    <t>Gerken Materials - Waterville, OH (Plt #04)</t>
  </si>
  <si>
    <t>25009Q-01</t>
  </si>
  <si>
    <t>Pavement Maintenance Systems, LLC - BCJMF</t>
  </si>
  <si>
    <t>11032-01</t>
  </si>
  <si>
    <t>Pavement Maintenance Systems, LLC - Imlay City, MI</t>
  </si>
  <si>
    <t>11058-01</t>
  </si>
  <si>
    <t>M&amp;B Asphalt Paving - Alvada, OH (Plt #02)</t>
  </si>
  <si>
    <t>12013-01</t>
  </si>
  <si>
    <t>Kokosing Materials - Wooster, OH (Plt #517 - Drum)</t>
  </si>
  <si>
    <t>25206Q-01</t>
  </si>
  <si>
    <t>Erie Materials - BCJMF</t>
  </si>
  <si>
    <t>12021-01</t>
  </si>
  <si>
    <t>Erie Materials - Sandusky, OH (Plt #03)</t>
  </si>
  <si>
    <t>25223Q-01</t>
  </si>
  <si>
    <t>Bucyrus Road Materials - BCJMF</t>
  </si>
  <si>
    <t>12023-01</t>
  </si>
  <si>
    <t>Bucyrus Road Materials - Bucyrus, OH (Plt #03)</t>
  </si>
  <si>
    <t>25001Q-01</t>
  </si>
  <si>
    <t>Holmes Asphalt - BCJMF</t>
  </si>
  <si>
    <t>12032-01</t>
  </si>
  <si>
    <t>Medina Materials - Lodi, OH (Plt #01)</t>
  </si>
  <si>
    <t>13000-01</t>
  </si>
  <si>
    <t>Allied Corp - North Jackson, OH (Plt #74)</t>
  </si>
  <si>
    <t>13002-01</t>
  </si>
  <si>
    <t>Allied Corp - Massillon, OH (Plt #73)</t>
  </si>
  <si>
    <t>13003-01</t>
  </si>
  <si>
    <t>Allied Corp - Copley, OH (Plt #79)</t>
  </si>
  <si>
    <t>15803-01</t>
  </si>
  <si>
    <t>Kokosing Materials - Grand River, OH (Plt #514)</t>
  </si>
  <si>
    <t>25311Q-01</t>
  </si>
  <si>
    <t>Koski Construction - BCJMF</t>
  </si>
  <si>
    <t>13011-01</t>
  </si>
  <si>
    <t>Koski Construction - Ashtabula, OH (Plt #01)</t>
  </si>
  <si>
    <t>25315Q-01</t>
  </si>
  <si>
    <t>Northstar Asphalt - BCJMF</t>
  </si>
  <si>
    <t>13015-01</t>
  </si>
  <si>
    <t>Northstar Asphalt - N. Canton, OH (Plt #01)</t>
  </si>
  <si>
    <t>25022Q-01</t>
  </si>
  <si>
    <t>Lindy Paving - BCJMF</t>
  </si>
  <si>
    <t>13019-01</t>
  </si>
  <si>
    <t>Lindy Paving - Wheatland, PA (Plt #896)</t>
  </si>
  <si>
    <t>16059-01</t>
  </si>
  <si>
    <t>Barrett Paving Matls - Piqua, OH</t>
  </si>
  <si>
    <t>17010-01</t>
  </si>
  <si>
    <t>Barrett Paving Matls - Camden, OH (Plt #10051)</t>
  </si>
  <si>
    <t>17020-01</t>
  </si>
  <si>
    <t>Barrett Paving Matls - Reading, OH (Plt #10060)</t>
  </si>
  <si>
    <t>17025-01</t>
  </si>
  <si>
    <t>Barrett Paving Matls - Middletown, OH (Plt #10057)</t>
  </si>
  <si>
    <t>20802-01</t>
  </si>
  <si>
    <t>Mar-Zane - Morristown, OH (Portable #22)</t>
  </si>
  <si>
    <t>18005-01</t>
  </si>
  <si>
    <t>Mar-Zane - Richmondale, OH (Plt #09)</t>
  </si>
  <si>
    <t>25033Q-01</t>
  </si>
  <si>
    <t>Allega Asphalt - BCJMF</t>
  </si>
  <si>
    <t>21803-01</t>
  </si>
  <si>
    <t>Allega Asphalt - Valley View, OH (Portable #01)</t>
  </si>
  <si>
    <t>19009-01</t>
  </si>
  <si>
    <t>Mar-Zane - Haydenville, OH (Plt #4)</t>
  </si>
  <si>
    <t>19011-01</t>
  </si>
  <si>
    <t>Mar-Zane - Marietta, OH (Plt #02 - Mini Drum)</t>
  </si>
  <si>
    <t>20003-01</t>
  </si>
  <si>
    <t>Mar-Zane - Gnadenhutten, OH (Plt #03)</t>
  </si>
  <si>
    <t>25549Q-01</t>
  </si>
  <si>
    <t>McKee Materials - BCJMF</t>
  </si>
  <si>
    <t>18019-01</t>
  </si>
  <si>
    <t>McKee Materials - Wellston, OH (Plt #2)</t>
  </si>
  <si>
    <t>13025-01</t>
  </si>
  <si>
    <t>Cuyahoga Asphalt - Mantua, OH (Plt #5102)</t>
  </si>
  <si>
    <t>13036-01</t>
  </si>
  <si>
    <t>Allied Corp - Streetsboro, OH (Plt #72)</t>
  </si>
  <si>
    <t>25011Q-01</t>
  </si>
  <si>
    <t>Roof to Road, LLC - BCJMF</t>
  </si>
  <si>
    <t>13044-01</t>
  </si>
  <si>
    <t>Roof to Road, LLC - Norton, OH</t>
  </si>
  <si>
    <t>16802-01</t>
  </si>
  <si>
    <t>Barrett Paving Matls - Sidney, OH (Portable)</t>
  </si>
  <si>
    <t>14015-01</t>
  </si>
  <si>
    <t>Shelly Materials - Reynoldsburg, OH (Plt #94)</t>
  </si>
  <si>
    <t>16013-01</t>
  </si>
  <si>
    <t>Barrett Paving Matls - Sidney, OH (PLT #100429)</t>
  </si>
  <si>
    <t>25014Q-01</t>
  </si>
  <si>
    <t>NLS Asphalt - BCJMF</t>
  </si>
  <si>
    <t>14026-01</t>
  </si>
  <si>
    <t>NLS Asphalt - Cambridge, OH (Plt #4)</t>
  </si>
  <si>
    <t>15020-01</t>
  </si>
  <si>
    <t>Shelly Materials - Ostrander, OH (Plt #24)</t>
  </si>
  <si>
    <t>15023-01</t>
  </si>
  <si>
    <t>Shelly Materials - Circleville, OH (Plt #61)</t>
  </si>
  <si>
    <t>15027-01</t>
  </si>
  <si>
    <t>Scioto Materials - Westerville, OH (Plt #130)</t>
  </si>
  <si>
    <t>15041-01</t>
  </si>
  <si>
    <t>Roof to Road, LLC - Columbus, OH</t>
  </si>
  <si>
    <t>25550Q-01</t>
  </si>
  <si>
    <t>RAP Management - BCJMF</t>
  </si>
  <si>
    <t>15050-01</t>
  </si>
  <si>
    <t>RAP Management - Columbus, OH (Plt #1)</t>
  </si>
  <si>
    <t>25702Q-01</t>
  </si>
  <si>
    <t>Valley Asphalt - BCJMF</t>
  </si>
  <si>
    <t>17028-01</t>
  </si>
  <si>
    <t>Valley Asphalt - Sharonville, OH (Plt #23)</t>
  </si>
  <si>
    <t>25740Q-01</t>
  </si>
  <si>
    <t>Mt. Pleasant Blacktop - BCJMF</t>
  </si>
  <si>
    <t>17040-01</t>
  </si>
  <si>
    <t>Mt. Pleasant Blacktop - Fairfield, OH (Plt #1741)</t>
  </si>
  <si>
    <t>15025-01</t>
  </si>
  <si>
    <t>Mar-Zane - Grove City, OH (Plt #26)</t>
  </si>
  <si>
    <t>14002-01</t>
  </si>
  <si>
    <t>Mar-Zane - Zanesville, OH (Plt #06)</t>
  </si>
  <si>
    <t>15012-01</t>
  </si>
  <si>
    <t>Mar-Zane - Delaware, OH (Plt #01)</t>
  </si>
  <si>
    <t>13026-01</t>
  </si>
  <si>
    <t>Lindy Paving - Hillsville, PA (Plt #894)</t>
  </si>
  <si>
    <t>25330Q-01</t>
  </si>
  <si>
    <t>Tri County Asphalt - BCJMF</t>
  </si>
  <si>
    <t>13030-01</t>
  </si>
  <si>
    <t>Tri-County Asphalt - Youngstown, OH (Plt #01)</t>
  </si>
  <si>
    <t>13039-01</t>
  </si>
  <si>
    <t>Lindy Paving - Conneaut Lake, PA (Plt #897)</t>
  </si>
  <si>
    <t>14004-01</t>
  </si>
  <si>
    <t>Shelly Materials - E. Fultonham, OH (Plt #99)</t>
  </si>
  <si>
    <t>16803-01</t>
  </si>
  <si>
    <t>Valley Asphalt - Germantown, OH (Portable)</t>
  </si>
  <si>
    <t>14010-01</t>
  </si>
  <si>
    <t>Scioto Materials - St. Louisville, OH (Plt #129)</t>
  </si>
  <si>
    <t>14011-01</t>
  </si>
  <si>
    <t>Shelly Materials - Lancaster, OH (Plt #62)</t>
  </si>
  <si>
    <t>25019Q-01</t>
  </si>
  <si>
    <t>Green Machinge Shingle Recycling - BCJMF</t>
  </si>
  <si>
    <t>14048-01</t>
  </si>
  <si>
    <t>Green Machine Shingle Recycling - Fredericktown,OH</t>
  </si>
  <si>
    <t>15001-01</t>
  </si>
  <si>
    <t>Shelly Materials - Columbus, OH (Plt #90)</t>
  </si>
  <si>
    <t>25505Q-01</t>
  </si>
  <si>
    <t>Apple/Smith Corp - BCJMF</t>
  </si>
  <si>
    <t>15005-01</t>
  </si>
  <si>
    <t>Decker Materials Company - Columbus, OH</t>
  </si>
  <si>
    <t>15016-01</t>
  </si>
  <si>
    <t>Kokosing Materials - Columbus, OH (Plt #509)</t>
  </si>
  <si>
    <t>25006Q-01</t>
  </si>
  <si>
    <t>Strawser Paving - BCJMF</t>
  </si>
  <si>
    <t>15024-01</t>
  </si>
  <si>
    <t>Strawser Paving - Columbus, OH</t>
  </si>
  <si>
    <t>25007Q-01</t>
  </si>
  <si>
    <t>American Paving, Inc. - BCJMF</t>
  </si>
  <si>
    <t>15028-01</t>
  </si>
  <si>
    <t>American Paving, Inc. - Plain City, OH</t>
  </si>
  <si>
    <t>25530Q-01</t>
  </si>
  <si>
    <t>Westfall Aggregate - BCJMF</t>
  </si>
  <si>
    <t>15030-01</t>
  </si>
  <si>
    <t>Westfall Aggregate - Circleville, OH (Plt #01)</t>
  </si>
  <si>
    <t>15031-01</t>
  </si>
  <si>
    <t>Valley Asphalt - Washington Ch, OH (Plt #27)</t>
  </si>
  <si>
    <t>25018Q-01</t>
  </si>
  <si>
    <t>Green Earth Recycle - BCJMF</t>
  </si>
  <si>
    <t>15047-01</t>
  </si>
  <si>
    <t>Green Earth Recycle - Brice, OH</t>
  </si>
  <si>
    <t>16001-01</t>
  </si>
  <si>
    <t>A &amp; B Asphalt - Enon, OH (Plt #1301)</t>
  </si>
  <si>
    <t>16003-01</t>
  </si>
  <si>
    <t>Walls Brothers - Phillipsburg, OH (Plt #1402)</t>
  </si>
  <si>
    <t>16008-01</t>
  </si>
  <si>
    <t>Shelly Materials - Belle Center, OH (Plt #80)</t>
  </si>
  <si>
    <t>16018-01</t>
  </si>
  <si>
    <t>Shelly Materials - Springfield, OH (Plt #25)</t>
  </si>
  <si>
    <t>20801-01</t>
  </si>
  <si>
    <t>Kelly Paving - Benwood, WV (Portable #08)</t>
  </si>
  <si>
    <t>16033-01</t>
  </si>
  <si>
    <t>Walls Brothers - Ft. Jefferson, OH (Plt #1401)</t>
  </si>
  <si>
    <t>16034-01</t>
  </si>
  <si>
    <t>Shelly Materials - Buckland, OH (Plt #85)</t>
  </si>
  <si>
    <t>25017Q-01</t>
  </si>
  <si>
    <t>Stamps Recycling - BCJMF</t>
  </si>
  <si>
    <t>16046-01</t>
  </si>
  <si>
    <t>Stamps Recycling - Vandalia, OH</t>
  </si>
  <si>
    <t>17000-01</t>
  </si>
  <si>
    <t>Valley Asphalt - Franklin, OH (Plt #28)</t>
  </si>
  <si>
    <t>17003-01</t>
  </si>
  <si>
    <t>Valley Asphalt - Xenia, OH (Plt #11)</t>
  </si>
  <si>
    <t>17012-01</t>
  </si>
  <si>
    <t>Valley Asphalt - Newtown, OH (Plt #14)</t>
  </si>
  <si>
    <t>17016-01</t>
  </si>
  <si>
    <t>Valley Asphalt - Morrow, OH (Plt #05)</t>
  </si>
  <si>
    <t>17022-01</t>
  </si>
  <si>
    <t>Valley Asphalt - Cincinnati, OH (Plt #19)</t>
  </si>
  <si>
    <t>25010Q-01</t>
  </si>
  <si>
    <t>C &amp; D Recycling, Inc. - BCJMF</t>
  </si>
  <si>
    <t>17030-01</t>
  </si>
  <si>
    <t>C &amp; D Recycling, Inc. - Newtown, OH</t>
  </si>
  <si>
    <t>19018-01</t>
  </si>
  <si>
    <t>Kelly Paving - St Mary's, WV (Plt #14 - Drum)</t>
  </si>
  <si>
    <t>20008-01</t>
  </si>
  <si>
    <t>Kelly Paving - Weirton, WV (Plt #23)</t>
  </si>
  <si>
    <t>25016Q-01</t>
  </si>
  <si>
    <t>Heritage Environment Services - BCJMF</t>
  </si>
  <si>
    <t>17045-01</t>
  </si>
  <si>
    <t>Heritage Environment Services - Lockland, OH</t>
  </si>
  <si>
    <t>18004-01</t>
  </si>
  <si>
    <t>Mountain Enterprises - Huntington, WV (Plt #34)</t>
  </si>
  <si>
    <t>18006-01</t>
  </si>
  <si>
    <t>Mountain Enterprises - Ashland, KY (Plt #13)</t>
  </si>
  <si>
    <t>18010-01</t>
  </si>
  <si>
    <t>Valley Asphalt - Lucasville, OH (Plt #24)</t>
  </si>
  <si>
    <t>18012-01</t>
  </si>
  <si>
    <t>Shelly Materials - Fairview, OH (Plt #44)</t>
  </si>
  <si>
    <t>25814Q-01</t>
  </si>
  <si>
    <t>G&amp;J Asphalt Maerials - BCJMF</t>
  </si>
  <si>
    <t>18014-01</t>
  </si>
  <si>
    <t>G&amp;J Asphalt Matls - Chillicothe, OH (Plt #01)</t>
  </si>
  <si>
    <t>18021-01</t>
  </si>
  <si>
    <t>Shelly Materials - Lucasville, OH (Plt #78)</t>
  </si>
  <si>
    <t>25822Q-01</t>
  </si>
  <si>
    <t>Brown County Asphalt - BCJMF</t>
  </si>
  <si>
    <t>18022-01</t>
  </si>
  <si>
    <t>Brown County Asphalt - Georgetown, OH (Plt #01)</t>
  </si>
  <si>
    <t>18023-01</t>
  </si>
  <si>
    <t>Eaton Asphalt - Maysville, KY (Plt #01)</t>
  </si>
  <si>
    <t>18036-01</t>
  </si>
  <si>
    <t>Shelly Materials - S. Webster, OH (Plt #8)</t>
  </si>
  <si>
    <t>19006-01</t>
  </si>
  <si>
    <t>Shelly Materials - Gallipolis, OH (Plt #2)</t>
  </si>
  <si>
    <t>19049-01</t>
  </si>
  <si>
    <t>McKee Materials - Nelsonville, OH (Plt #1)</t>
  </si>
  <si>
    <t>20014-01</t>
  </si>
  <si>
    <t>NLS Asphalt - Empire, OH (Plt #01)</t>
  </si>
  <si>
    <t>20019-01</t>
  </si>
  <si>
    <t>Holmes Supply - Holmesville, OH (Plt #01)</t>
  </si>
  <si>
    <t>20022-01</t>
  </si>
  <si>
    <t>Lindy Paving - Monaca, PA (Plt #1)</t>
  </si>
  <si>
    <t>20023-01</t>
  </si>
  <si>
    <t>NLS Asphalt - Cadiz, OH (Plt #3)</t>
  </si>
  <si>
    <t>20025-01</t>
  </si>
  <si>
    <t>Lindy Paving - Koppel, PA</t>
  </si>
  <si>
    <t>21002-01</t>
  </si>
  <si>
    <t>Cuyahoga Asphalt - E. Claridon, OH (Plt #5101)</t>
  </si>
  <si>
    <t>21016-01</t>
  </si>
  <si>
    <t>Allied Corp - Bedford Heights, OH (Plt #71)</t>
  </si>
  <si>
    <t>25025Q-01</t>
  </si>
  <si>
    <t>Unique Paving Materials - BCJMF</t>
  </si>
  <si>
    <t>21022-01</t>
  </si>
  <si>
    <t>Unique Paving Materials - Cleveland, OH</t>
  </si>
  <si>
    <t>21025-01</t>
  </si>
  <si>
    <t>Kokosing Materials - Garfield Heights, OH (Plt#519</t>
  </si>
  <si>
    <t>21026-01</t>
  </si>
  <si>
    <t>Allied Corp - Cleveland, OH (Plt #76)</t>
  </si>
  <si>
    <t>25108Q-01</t>
  </si>
  <si>
    <t>Grand River Asphalt - BCJMF</t>
  </si>
  <si>
    <t>21028-01</t>
  </si>
  <si>
    <t>Grand River Asphalt - Painsville, OH (Plt #01)</t>
  </si>
  <si>
    <t>21029-01</t>
  </si>
  <si>
    <t>Kokosing Materials - Cleveland, OH (Plt #522)</t>
  </si>
  <si>
    <t>10006-01</t>
  </si>
  <si>
    <t>Gerken Materials - Paulding, OH (Plt #08)</t>
  </si>
  <si>
    <t>10009-01</t>
  </si>
  <si>
    <t>Gerken Materials - Bluffton, OH</t>
  </si>
  <si>
    <t>16805-01</t>
  </si>
  <si>
    <t>Valley Asphalt - Dayton, OH (Portable #06)</t>
  </si>
  <si>
    <t>10021-01</t>
  </si>
  <si>
    <t>Shelly Materials - Carey, OH</t>
  </si>
  <si>
    <t>10033-01</t>
  </si>
  <si>
    <t>Brooks Construction - Auburn, IN (Plt #07)</t>
  </si>
  <si>
    <t>11010-01</t>
  </si>
  <si>
    <t>Shelly Materials - Maumee, OH (Plt #110)</t>
  </si>
  <si>
    <t>17802-01</t>
  </si>
  <si>
    <t>Valley Asphalt - Cleves, OH (Portable #17)</t>
  </si>
  <si>
    <t>11022-01</t>
  </si>
  <si>
    <t>Shelly Materials - Toledo, OH (Plt #132)</t>
  </si>
  <si>
    <t>25126Q-01</t>
  </si>
  <si>
    <t>Bowers Asphalt - BCJMF</t>
  </si>
  <si>
    <t>11026-01</t>
  </si>
  <si>
    <t>Bowers Asphalt - Walbridge, OH (Plt #01)</t>
  </si>
  <si>
    <t>11027-01</t>
  </si>
  <si>
    <t>Gerken Materials - Pioneer, OH (Plt #20)</t>
  </si>
  <si>
    <t>18801-01</t>
  </si>
  <si>
    <t>Shelly Materials - Chillicothe, OH (Portable #15)</t>
  </si>
  <si>
    <t>25202Q-01</t>
  </si>
  <si>
    <t>Sarver Paving - BCJMF</t>
  </si>
  <si>
    <t>12002-01</t>
  </si>
  <si>
    <t>Sarver Paving - Ashland, OH (Plt #01)</t>
  </si>
  <si>
    <t>12007-01</t>
  </si>
  <si>
    <t>Kokosing Materials - Medina, OH (Plt #516)</t>
  </si>
  <si>
    <t>12009-01</t>
  </si>
  <si>
    <t>Kokosing Materials - Sheffield, OH (Plt #503)</t>
  </si>
  <si>
    <t>12011-01</t>
  </si>
  <si>
    <t>Kokosing Materials - Mansfield, OH (Plt #501)</t>
  </si>
  <si>
    <t>12014-01</t>
  </si>
  <si>
    <t>Kokosing Materials - Columbia Station,OH (Plt#530)</t>
  </si>
  <si>
    <t>25314Q-01</t>
  </si>
  <si>
    <t>Oster Enterprises - BCJMF</t>
  </si>
  <si>
    <t>20803-01</t>
  </si>
  <si>
    <t>Canton Asphalt - Bolivar, OH (Portable #02)</t>
  </si>
  <si>
    <t>12029-01</t>
  </si>
  <si>
    <t>Gerken Materials - Sandusky, OH (Plt #10)</t>
  </si>
  <si>
    <t>25012Q-01</t>
  </si>
  <si>
    <t>Recycling &amp; Processing Equipment - BCJMF</t>
  </si>
  <si>
    <t>12042-01</t>
  </si>
  <si>
    <t>Recycling &amp; Processing Equipment - Norwalk, OH</t>
  </si>
  <si>
    <t>13014-01</t>
  </si>
  <si>
    <t>Massillon Asphalt - Massillon, OH (Plt #Drum)</t>
  </si>
  <si>
    <t>13018-01</t>
  </si>
  <si>
    <t>Allied Corp - Kent, OH (Plt #75)</t>
  </si>
  <si>
    <t>13020-01</t>
  </si>
  <si>
    <t>Lindy Paving - Wheatland, PA (Plt #895)</t>
  </si>
  <si>
    <t>13022-01</t>
  </si>
  <si>
    <t>Lindy Paving - Eria, PA ( Plt #25B41)</t>
  </si>
  <si>
    <t>25013Q-01</t>
  </si>
  <si>
    <t>Rosby Resource Recycling - BCJMF</t>
  </si>
  <si>
    <t>21043-01</t>
  </si>
  <si>
    <t>Rosby Resource Recycling - Brooklyn Heights, OH</t>
  </si>
  <si>
    <t>25024Q-01</t>
  </si>
  <si>
    <t>Buckeye Surface Materials - BCJMF</t>
  </si>
  <si>
    <t>21073-01</t>
  </si>
  <si>
    <t>Buckeye Surface Materials - Independence, OH</t>
  </si>
  <si>
    <t>25004Q-01</t>
  </si>
  <si>
    <t>Microsurfacing Contractors, LLC - BCJMF</t>
  </si>
  <si>
    <t>22023-01</t>
  </si>
  <si>
    <t>Microsurfacing Contractors, LLC - St. Louis, MO</t>
  </si>
  <si>
    <t>20028-01</t>
  </si>
  <si>
    <t>NLS Asphalt - Martins Ferry, OH (Plt #05)</t>
  </si>
  <si>
    <t>21802-01</t>
  </si>
  <si>
    <t>Allied Corp - Cleveland, OH (Plt #77)</t>
  </si>
  <si>
    <t>14001-01</t>
  </si>
  <si>
    <t>Mar-Zane - Byesville, OH (Plt #13)</t>
  </si>
  <si>
    <t>15019-01</t>
  </si>
  <si>
    <t>Mar-Zane - Marion, OH (Plt #07)</t>
  </si>
  <si>
    <t>16023-01</t>
  </si>
  <si>
    <t>Barrett Paving Matls - Fairborn, OH (Plt #100427)</t>
  </si>
  <si>
    <t>17005-01</t>
  </si>
  <si>
    <t>Barrett Paving Matls - Cleves, OH (Plt #10062)</t>
  </si>
  <si>
    <t>11801-01</t>
  </si>
  <si>
    <t>Gerken Materials - Sylvania, OH (Portable #06)</t>
  </si>
  <si>
    <t>11803-01</t>
  </si>
  <si>
    <t>Shelly Materials - Woodville, OH (Portable #118)</t>
  </si>
  <si>
    <t>11804-01</t>
  </si>
  <si>
    <t>Shelly Materials - Portage, OH (Portable #128)</t>
  </si>
  <si>
    <t>12801-01</t>
  </si>
  <si>
    <t>Mar-Zane - Perrysville, OH (Portable #17)</t>
  </si>
  <si>
    <t>25002Q-01</t>
  </si>
  <si>
    <t>Riley Materials - BCJMF</t>
  </si>
  <si>
    <t>12802-01</t>
  </si>
  <si>
    <t>Riley Materials - Norwalk, OH (Portable #2)</t>
  </si>
  <si>
    <t>13801-01</t>
  </si>
  <si>
    <t>Mar-Zane - Akron, OH (Portable #24)</t>
  </si>
  <si>
    <t>25321Q-01</t>
  </si>
  <si>
    <t>Kenmore Asphalt - BCJMF</t>
  </si>
  <si>
    <t>13802-01</t>
  </si>
  <si>
    <t>Kenmore Construction - Akron, OH (Portable #01)</t>
  </si>
  <si>
    <t>14801-01</t>
  </si>
  <si>
    <t>Kokosing Materials - Fredericktown, OH (Portable)</t>
  </si>
  <si>
    <t>25419Q-01</t>
  </si>
  <si>
    <t>Small's Asphalt Paving, Inc. - BCJMF</t>
  </si>
  <si>
    <t>14803-01</t>
  </si>
  <si>
    <t>Small's Asphalt Paving - Gambier, OH (Portable)</t>
  </si>
  <si>
    <t>25919Q-01</t>
  </si>
  <si>
    <t>Amaazz Matls - BCJMF</t>
  </si>
  <si>
    <t>14804-01</t>
  </si>
  <si>
    <t>Amaazz Matls - Newcomerstown, OH (Portbale)</t>
  </si>
  <si>
    <t>16801-01</t>
  </si>
  <si>
    <t>Valley Asphalt - Troy, OH (Portable #25)</t>
  </si>
  <si>
    <t>17801-01</t>
  </si>
  <si>
    <t>Valley Asphalt - Melvin, OH (Portable #18)</t>
  </si>
  <si>
    <t>18802-01</t>
  </si>
  <si>
    <t>Amaazz Matls - Wheelersburg, OH (Portable #2)</t>
  </si>
  <si>
    <t>19801-01</t>
  </si>
  <si>
    <t>Mar-Zane - Wellston, OH (Portable #10)</t>
  </si>
  <si>
    <t>25023Q-01</t>
  </si>
  <si>
    <t>Gallagher Asphalt Company - BCJMF</t>
  </si>
  <si>
    <t>21801-01</t>
  </si>
  <si>
    <t>Gallagher Asphalt Company - Thornton, IL Portable</t>
  </si>
  <si>
    <t>21006-01</t>
  </si>
  <si>
    <t>Allied Corp - Cleveland, OH (Plt #70)</t>
  </si>
  <si>
    <t>25027Q-01</t>
  </si>
  <si>
    <t>Mid Ohio Paving - BCJMF</t>
  </si>
  <si>
    <t>14024-01</t>
  </si>
  <si>
    <t>Mid Ohio Paving - Centerburg, OH</t>
  </si>
  <si>
    <t>13031-01</t>
  </si>
  <si>
    <t>Kokosing Materials - Kent, OH (Plt #523)</t>
  </si>
  <si>
    <t>25021Q-01</t>
  </si>
  <si>
    <t>Normac Company - BCJMF</t>
  </si>
  <si>
    <t>17804-01</t>
  </si>
  <si>
    <t>Normac Company - Middletown, OH (Portable #1)</t>
  </si>
  <si>
    <t>12006-01</t>
  </si>
  <si>
    <t>Erie Materials - Sandusky, OH (Plt #2)</t>
  </si>
  <si>
    <t>25026Q-01</t>
  </si>
  <si>
    <t>Bergman Materials - BCJFM</t>
  </si>
  <si>
    <t>11039-01</t>
  </si>
  <si>
    <t>Bergman Materials - Perrysburg, OH</t>
  </si>
  <si>
    <t>17803-01</t>
  </si>
  <si>
    <t>Barrett Paving Matls - Franklin, OH (Portable)</t>
  </si>
  <si>
    <t>10801-01</t>
  </si>
  <si>
    <t>Shelly Materials - Findlay, OH (Portable #114)</t>
  </si>
  <si>
    <t>10804-01</t>
  </si>
  <si>
    <t>Shelly Materials - Clay Center, OH (Portable #89)</t>
  </si>
  <si>
    <t>10802-01</t>
  </si>
  <si>
    <t>Kokosing Materials - Upper Sandusky, OH (Portable)</t>
  </si>
  <si>
    <t>10803-01</t>
  </si>
  <si>
    <t>Gerken Materials - Bluffton, OH (Portable #14)</t>
  </si>
  <si>
    <t>13803-01</t>
  </si>
  <si>
    <t>Kokosing Materials - Ashtabula, OH (Portable #524)</t>
  </si>
  <si>
    <t>25028Q-01</t>
  </si>
  <si>
    <t>Strawser Construction - BCJMF</t>
  </si>
  <si>
    <t>15828-01</t>
  </si>
  <si>
    <t>Strawser Construction - Columbus, OH (Portable)</t>
  </si>
  <si>
    <t>25901Q-01</t>
  </si>
  <si>
    <t>Miller Mason - BCJMF</t>
  </si>
  <si>
    <t>18001-01</t>
  </si>
  <si>
    <t>Miller Mason - Hillsboro, OH (Plt #1)</t>
  </si>
  <si>
    <t>16804-01</t>
  </si>
  <si>
    <t>Shelly Materials - Celina, OH (Portable #117)</t>
  </si>
  <si>
    <t>13005-01</t>
  </si>
  <si>
    <t>Allied Corp - Canton, OH (Plt #100)</t>
  </si>
  <si>
    <t>19801-02</t>
  </si>
  <si>
    <t>Mar-Zane - Richmond Dale, OH (Portable #10)</t>
  </si>
  <si>
    <t>Mix Producer Name</t>
  </si>
  <si>
    <t>Mix Producer Code</t>
  </si>
  <si>
    <t>Plant Code</t>
  </si>
  <si>
    <t>Plant Name</t>
  </si>
  <si>
    <t xml:space="preserve">  Conditional formatting is used to change the fill color for cells that do not meet the</t>
  </si>
  <si>
    <t>Binder Supplier</t>
  </si>
  <si>
    <t>Binder PS Code</t>
  </si>
  <si>
    <t xml:space="preserve">  corresponding maximum and/or minimum specification limits to red. Unless different</t>
  </si>
  <si>
    <t xml:space="preserve">  "as per plan" requirements are specified, the asphalt mix design shall be modified to</t>
  </si>
  <si>
    <t xml:space="preserve">  ensure that all values meet the required specifications (i.e., none of the cells have</t>
  </si>
  <si>
    <t xml:space="preserve">  a red fill color).</t>
  </si>
  <si>
    <t xml:space="preserve">Gsb = Ps/((CA%/Gca)+(FA%/Gfa)+(RAP%/GseRAP)) = </t>
  </si>
  <si>
    <t>Gse @ Opt. Binder</t>
  </si>
  <si>
    <t>Pbe @ Opt. Binder (%)</t>
  </si>
  <si>
    <t>Selected Virgin Binder Grade</t>
  </si>
  <si>
    <t xml:space="preserve">RAP Blending Used? </t>
  </si>
  <si>
    <t>1016428M</t>
  </si>
  <si>
    <t>dbo_AWP_SOURCE.DESCR</t>
  </si>
  <si>
    <t>MATERIAL_NM</t>
  </si>
  <si>
    <t>dbo_AWP_MATERIAL.DESCR</t>
  </si>
  <si>
    <t>22001-01</t>
  </si>
  <si>
    <t>Marathon Petroleum - Canton, OH</t>
  </si>
  <si>
    <t>22002-01</t>
  </si>
  <si>
    <t>Marathon Petroleum - Detroit, MI</t>
  </si>
  <si>
    <t>22006-01</t>
  </si>
  <si>
    <t>Marathon Petroleum - North Bend, OH</t>
  </si>
  <si>
    <t>22007-01</t>
  </si>
  <si>
    <t>Asphalt Materials - Oregon, OH</t>
  </si>
  <si>
    <t>22008-01</t>
  </si>
  <si>
    <t>United Refining - Warren, PA</t>
  </si>
  <si>
    <t>22009-01</t>
  </si>
  <si>
    <t>Marathon Petroleum/Big Sandy - Catlettsburg, KY</t>
  </si>
  <si>
    <t>22012-01</t>
  </si>
  <si>
    <t>Terry Materials - Hamilton, OH</t>
  </si>
  <si>
    <t>22013-01</t>
  </si>
  <si>
    <t>Marathon Petroleum - Cleveland, OH</t>
  </si>
  <si>
    <t>22014-01</t>
  </si>
  <si>
    <t>Seneca Petroleum - Toledo, OH</t>
  </si>
  <si>
    <t>22016-01</t>
  </si>
  <si>
    <t>Asphalt Materials - Marietta, OH</t>
  </si>
  <si>
    <t>22018-01</t>
  </si>
  <si>
    <t>Marathon Petroleum - Catlettsburg, KY</t>
  </si>
  <si>
    <t>22020-01</t>
  </si>
  <si>
    <t>Marathon Petroleum - Jefferson Hills, PA</t>
  </si>
  <si>
    <t>22021-01</t>
  </si>
  <si>
    <t>S&amp;S Terminal - Rayland, OH</t>
  </si>
  <si>
    <t>22024-01</t>
  </si>
  <si>
    <t>Michigan Paving &amp; Materials - Monroe, MI</t>
  </si>
  <si>
    <t>22027-01</t>
  </si>
  <si>
    <t>Greater Cincinnati Asphalt T2 - North Bend, OH</t>
  </si>
  <si>
    <t>22028-01</t>
  </si>
  <si>
    <t>Asphalt Materials - Columbus, OH</t>
  </si>
  <si>
    <t>22029-01</t>
  </si>
  <si>
    <t>Suit-Kote - Meadville, PA</t>
  </si>
  <si>
    <t>22031-01</t>
  </si>
  <si>
    <t>Ajax Asphalt Terminal - Detroit, MI</t>
  </si>
  <si>
    <t>22035-01</t>
  </si>
  <si>
    <t>Terry Materials/Buckeye Terminal - Cincinnati, OH</t>
  </si>
  <si>
    <t>22036-01</t>
  </si>
  <si>
    <t>MGQ Terminal - Tiffin, OH</t>
  </si>
  <si>
    <t>22037-01</t>
  </si>
  <si>
    <t>Asphalt Materials - Indianapolis, IN</t>
  </si>
  <si>
    <t>22038-01</t>
  </si>
  <si>
    <t>Suit-Kote - Jamestown, NY</t>
  </si>
  <si>
    <t>22040-01</t>
  </si>
  <si>
    <t>Tri-State Asphalt - Morris, IL</t>
  </si>
  <si>
    <t>22041-01</t>
  </si>
  <si>
    <t>Benchmark Distribution - Waterloo, IN</t>
  </si>
  <si>
    <t>22043-01</t>
  </si>
  <si>
    <t>Seneca Petroleum - Portage, IN</t>
  </si>
  <si>
    <t>22045-01</t>
  </si>
  <si>
    <t>Warden Modified Asphalt - Mercer, PA</t>
  </si>
  <si>
    <t>22046-01</t>
  </si>
  <si>
    <t>Exxonmobil Refinery - Joilet, IL</t>
  </si>
  <si>
    <t>22047-01</t>
  </si>
  <si>
    <t>Asphalt Materials - Edison, OH</t>
  </si>
  <si>
    <t>22050-01</t>
  </si>
  <si>
    <t>Marathon Petroleum - Louisville, OH</t>
  </si>
  <si>
    <t>22052-01</t>
  </si>
  <si>
    <t>Marathon Petroleum - Wellsville, OH</t>
  </si>
  <si>
    <t>22055-01</t>
  </si>
  <si>
    <t>Shelly Liquids - Gallipolis, OH</t>
  </si>
  <si>
    <t>22056-01</t>
  </si>
  <si>
    <t>Shelly Liquids - Toledo, OH</t>
  </si>
  <si>
    <t>22057-01</t>
  </si>
  <si>
    <t>Shelly Liquids - Cleveland, OH</t>
  </si>
  <si>
    <t>22058-01</t>
  </si>
  <si>
    <t>Kokosing Materials - Mansfield, OH</t>
  </si>
  <si>
    <t>22059-01</t>
  </si>
  <si>
    <t>Kokosing Materials - Wheelersburg, OH</t>
  </si>
  <si>
    <t>22060-01</t>
  </si>
  <si>
    <t>22068-01</t>
  </si>
  <si>
    <t>Gerken Materials - Bluffton</t>
  </si>
  <si>
    <t>22069-01</t>
  </si>
  <si>
    <t>K-Tech Specialty Coatings, Inc.</t>
  </si>
  <si>
    <t>BRAND_NM</t>
  </si>
  <si>
    <t>91464-01</t>
  </si>
  <si>
    <t>Martin Imi Inc./SC</t>
  </si>
  <si>
    <t>91762-01</t>
  </si>
  <si>
    <t>Surface Tech - Portland, OR</t>
  </si>
  <si>
    <t>ACE FIBER</t>
  </si>
  <si>
    <t>91210-01</t>
  </si>
  <si>
    <t>Advanced Fiber Solutions/SC</t>
  </si>
  <si>
    <t>AFS30</t>
  </si>
  <si>
    <t>72731-01</t>
  </si>
  <si>
    <t>Forta Corporation</t>
  </si>
  <si>
    <t>Forta-FI</t>
  </si>
  <si>
    <t>Producer Code</t>
  </si>
  <si>
    <t>PG 52-28 Neat</t>
  </si>
  <si>
    <t>1015228</t>
  </si>
  <si>
    <t>Company:</t>
  </si>
  <si>
    <t>% CA - Gravel</t>
  </si>
  <si>
    <t>% CA - Limestone</t>
  </si>
  <si>
    <t>% CA - ACBF Slag</t>
  </si>
  <si>
    <t>301 Base</t>
  </si>
  <si>
    <t>** Blend Gsb Calculation **</t>
  </si>
  <si>
    <t>301_Packet_Spec_RAP_Method_1_Max_Polymer_Binder</t>
  </si>
  <si>
    <t>301_Packet_Spec_RAP_Method_1_Max_Non_Polymer_Binder</t>
  </si>
  <si>
    <t>301_Packet_Spec_RAP_Method_2_Max_Polymer_Binder</t>
  </si>
  <si>
    <t>301_Packet_Spec_RAP_Method_2_Max_Non_Polymer_Binder</t>
  </si>
  <si>
    <t>301_Packet_Spec_Virgin_Asphalt_Binder_Min_RAP_Method_1_Polymer_Binder</t>
  </si>
  <si>
    <t>301_Packet_Spec_Virgin_Asphalt_Binder_Min_RAP_Method_1_Non_Polymer_Binder</t>
  </si>
  <si>
    <t>301_Packet_Spec_Virgin_Asphalt_Binder_Min_RAP_Method_2_Polymer_Binder</t>
  </si>
  <si>
    <t>301_Packet_Spec_Virgin_Asphalt_Binder_Min_RAP_Method_2_Non_Polymer_Binder</t>
  </si>
  <si>
    <t>301_Packet_Spec_Agg_Grad_2P0_Min</t>
  </si>
  <si>
    <t>301_Packet_Spec_Agg_Grad_2P0_Max</t>
  </si>
  <si>
    <t>301_Packet_Spec_Agg_Grad_1P5_Min</t>
  </si>
  <si>
    <t>301_Packet_Spec_Agg_Grad_1P5_Max</t>
  </si>
  <si>
    <t>301_Packet_Spec_Agg_Grad_1P0_Min</t>
  </si>
  <si>
    <t>301_Packet_Spec_Agg_Grad_1P0_Max</t>
  </si>
  <si>
    <t>301_Packet_Spec_Agg_Grad_P75_Min</t>
  </si>
  <si>
    <t>301_Packet_Spec_Agg_Grad_P75_Max</t>
  </si>
  <si>
    <t>301_Packet_Spec_Agg_Grad_P5_Min</t>
  </si>
  <si>
    <t>301_Packet_Spec_Agg_Grad_P5_Max</t>
  </si>
  <si>
    <t>301_Packet_Spec_Agg_Grad_P375_Min</t>
  </si>
  <si>
    <t>301_Packet_Spec_Agg_Grad_P375_Max</t>
  </si>
  <si>
    <t>301_Packet_Spec_Agg_Grad_N4_Min</t>
  </si>
  <si>
    <t>301_Packet_Spec_Agg_Grad_N4_Max</t>
  </si>
  <si>
    <t>301_Packet_Spec_Agg_Grad_N8_Min</t>
  </si>
  <si>
    <t>301_Packet_Spec_Agg_Grad_N8_Max</t>
  </si>
  <si>
    <t>301_Packet_Spec_Agg_Grad_N16_Min</t>
  </si>
  <si>
    <t>301_Packet_Spec_Agg_Grad_N16_Max</t>
  </si>
  <si>
    <t>301_Packet_Spec_Agg_Grad_N30_Min</t>
  </si>
  <si>
    <t>301_Packet_Spec_Agg_Grad_N30_Max</t>
  </si>
  <si>
    <t>301_Packet_Spec_Agg_Grad_N50_Min</t>
  </si>
  <si>
    <t>301_Packet_Spec_Agg_Grad_N50_Max</t>
  </si>
  <si>
    <t>301_Packet_Spec_Agg_Grad_N100_Min</t>
  </si>
  <si>
    <t>301_Packet_Spec_Agg_Grad_N100_Max</t>
  </si>
  <si>
    <t>301_Packet_Spec_Agg_Grad_N200_Min</t>
  </si>
  <si>
    <t>301_Packet_Spec_Agg_Grad_N200_Max</t>
  </si>
  <si>
    <t>301_Packet_Spec_Total_Asphalt_Binder_Mix_Contains_Gravel_Coarse_Agg_Only_Min</t>
  </si>
  <si>
    <t>301_Packet_Spec_Total_Asphalt_Binder_Mix_Contains_Non_Gravel_Coarse_Agg_Min</t>
  </si>
  <si>
    <t>301_Packet_Spec_Total_Asphalt_Binder_Max</t>
  </si>
  <si>
    <t>301_Packet_Spec_F_Over_A_Min</t>
  </si>
  <si>
    <t>301_Packet_Spec_F_Over_A_Max</t>
  </si>
  <si>
    <t>301_Packet_Spec_F_Minus_T_Min</t>
  </si>
  <si>
    <t>301_Packet_Spec_F_Minus_T_Max</t>
  </si>
  <si>
    <t>301_Packet_Spec_Design_Blows</t>
  </si>
  <si>
    <t>301_Packet_Spec_Stability_Min</t>
  </si>
  <si>
    <t>301_Packet_Spec_Stability_Max</t>
  </si>
  <si>
    <t>301_Packet_Spec_Flow_Min</t>
  </si>
  <si>
    <t>301_Packet_Spec_Flow_Max</t>
  </si>
  <si>
    <t>301_Packet_Spec_Design_Air_Voids</t>
  </si>
  <si>
    <t>301_Packet_Spec_VMA_Min</t>
  </si>
  <si>
    <t>301_Packet_Spec_VMA_Max</t>
  </si>
  <si>
    <t>301_Packet_Spec_SSD_Allowed_1_Yes_0_No</t>
  </si>
  <si>
    <t>301_Packet_Spec_RAP_Blending_Applicable_1_Yes_0_No</t>
  </si>
  <si>
    <t>301_Packet_Spec_Max_Agg_Size</t>
  </si>
  <si>
    <t>301_Packet_Spec_TSR_Without_Antistrip_Additives_Min</t>
  </si>
  <si>
    <t>301_Packet_Spec_TSR_With_Antistrip_Additives_Min</t>
  </si>
  <si>
    <t>301_Packet_Spec_APA_Rut_Depth_Max</t>
  </si>
  <si>
    <t>301_Packet_Spec_CTindex_STOA_Min</t>
  </si>
  <si>
    <t>301_Packet_Spec_CTindex_LTOA_Min</t>
  </si>
  <si>
    <t>301_Packet_Spec_Hamburg_Rut_Depth_Max</t>
  </si>
  <si>
    <t>301_Packet_Spec_Hamburg_SIP_Min</t>
  </si>
  <si>
    <t>% Binder Content @ Design</t>
  </si>
  <si>
    <t>Mixing Temp.</t>
  </si>
  <si>
    <t>Compaction Temp.</t>
  </si>
  <si>
    <t>Spec. Book Year</t>
  </si>
  <si>
    <t>AASHTOWare Project Summary Data (PG 1)</t>
  </si>
  <si>
    <t xml:space="preserve">Proposal PG Grade </t>
  </si>
  <si>
    <t xml:space="preserve">Design Traffic Level  </t>
  </si>
  <si>
    <t xml:space="preserve">Proposal Line Number 1 </t>
  </si>
  <si>
    <t xml:space="preserve">Lane ADTT </t>
  </si>
  <si>
    <t xml:space="preserve">Proposal Line Number 2 </t>
  </si>
  <si>
    <t xml:space="preserve">Design Air Voids </t>
  </si>
  <si>
    <t xml:space="preserve">Proposal Line Number 3 </t>
  </si>
  <si>
    <t xml:space="preserve">Design Gyrations/Blows </t>
  </si>
  <si>
    <t xml:space="preserve">Total AC% </t>
  </si>
  <si>
    <t>Design Type</t>
  </si>
  <si>
    <t xml:space="preserve">Virgin AC% </t>
  </si>
  <si>
    <t xml:space="preserve">Virgin AC + Additive% </t>
  </si>
  <si>
    <t xml:space="preserve">Design Type </t>
  </si>
  <si>
    <t xml:space="preserve">RAS AC% </t>
  </si>
  <si>
    <t xml:space="preserve">RAP AC% </t>
  </si>
  <si>
    <t xml:space="preserve">Mix Plant #1 </t>
  </si>
  <si>
    <t xml:space="preserve">RAP Method </t>
  </si>
  <si>
    <t xml:space="preserve">Mix Plant #2 </t>
  </si>
  <si>
    <t xml:space="preserve">RAP Pile Name #1 </t>
  </si>
  <si>
    <t xml:space="preserve">Mix Plant #3 </t>
  </si>
  <si>
    <t xml:space="preserve">AC% in RAP #1 </t>
  </si>
  <si>
    <t xml:space="preserve">RAP Pile Name #2 </t>
  </si>
  <si>
    <t xml:space="preserve">Design MSG </t>
  </si>
  <si>
    <t xml:space="preserve">AC% in RAP #2 </t>
  </si>
  <si>
    <t xml:space="preserve">Rice SSD Used? </t>
  </si>
  <si>
    <t xml:space="preserve">RAP Pile Name #3 </t>
  </si>
  <si>
    <t xml:space="preserve">VMA </t>
  </si>
  <si>
    <t xml:space="preserve">AC% in RAP #3 </t>
  </si>
  <si>
    <t xml:space="preserve">F/A ratio </t>
  </si>
  <si>
    <t xml:space="preserve">Mix Temp (F) </t>
  </si>
  <si>
    <t xml:space="preserve">F/T </t>
  </si>
  <si>
    <t xml:space="preserve">Compaction Temp (F) </t>
  </si>
  <si>
    <t xml:space="preserve">Gsb of Mix  </t>
  </si>
  <si>
    <t xml:space="preserve">Unit Weight (tons/CY) </t>
  </si>
  <si>
    <t xml:space="preserve">Gse of Mix </t>
  </si>
  <si>
    <t xml:space="preserve">TSR </t>
  </si>
  <si>
    <t xml:space="preserve">CT-Index STOA </t>
  </si>
  <si>
    <t xml:space="preserve">CT-Index LTOA </t>
  </si>
  <si>
    <t xml:space="preserve">Rutting (mm) </t>
  </si>
  <si>
    <t xml:space="preserve">Stripping Inflection Point </t>
  </si>
  <si>
    <t xml:space="preserve">Marshall Stability (lb) </t>
  </si>
  <si>
    <t xml:space="preserve">Marshall Flow </t>
  </si>
  <si>
    <t xml:space="preserve">SiO2% of Fine Blend </t>
  </si>
  <si>
    <t>Mix Design Blend</t>
  </si>
  <si>
    <t>Coarse 1</t>
  </si>
  <si>
    <t>Material ID</t>
  </si>
  <si>
    <t>Source ID</t>
  </si>
  <si>
    <t>Source Description</t>
  </si>
  <si>
    <t>Blend%</t>
  </si>
  <si>
    <t>Bulk SG of Agg</t>
  </si>
  <si>
    <t>FAA/Fracture Agg%</t>
  </si>
  <si>
    <t>Absorption%</t>
  </si>
  <si>
    <t>SiO2%</t>
  </si>
  <si>
    <t>Coarse 2</t>
  </si>
  <si>
    <t>Coarse 3</t>
  </si>
  <si>
    <t>Coarse 4</t>
  </si>
  <si>
    <t>Fine 1</t>
  </si>
  <si>
    <t>Fine 2</t>
  </si>
  <si>
    <t>AASHTOWare Project Summary Data (PG 2)</t>
  </si>
  <si>
    <t>Fine 3</t>
  </si>
  <si>
    <t>Fine 4</t>
  </si>
  <si>
    <t>Binder</t>
  </si>
  <si>
    <t>Virgin AC%</t>
  </si>
  <si>
    <t>Gb</t>
  </si>
  <si>
    <t>LAS</t>
  </si>
  <si>
    <t>Product Name</t>
  </si>
  <si>
    <t>Producer</t>
  </si>
  <si>
    <t>Dosage Rate by Total Binder</t>
  </si>
  <si>
    <t>Gradation of Mix</t>
  </si>
  <si>
    <t>Sieve Size</t>
  </si>
  <si>
    <t>% Passing</t>
  </si>
  <si>
    <t>Min</t>
  </si>
  <si>
    <t>Max</t>
  </si>
  <si>
    <t>2 in. (50 mm)</t>
  </si>
  <si>
    <t>1 1/2 in. (37.5 mm)</t>
  </si>
  <si>
    <t>1 in. (25 mm)</t>
  </si>
  <si>
    <t>3/4 in. (19 mm)</t>
  </si>
  <si>
    <t>1/2 in. (12.5 mm)</t>
  </si>
  <si>
    <t>3/8 in. (9.5 mm)</t>
  </si>
  <si>
    <t>No. 4 (4.75 mm)</t>
  </si>
  <si>
    <t>No. 8 (2.38 mm)</t>
  </si>
  <si>
    <t>No. 16 (1.18 mm)</t>
  </si>
  <si>
    <t>No. 30 (0.600 mm)</t>
  </si>
  <si>
    <t>No. 50 (0.300 mm)</t>
  </si>
  <si>
    <t>No. 100 (0.150 mm)</t>
  </si>
  <si>
    <t>No. 200 (0.075 mm)</t>
  </si>
  <si>
    <r>
      <t>PAV-aged RAP Binder Intermediate Critical Temperature (DSR G*sin</t>
    </r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 xml:space="preserve"> </t>
    </r>
    <r>
      <rPr>
        <sz val="10"/>
        <rFont val="Symbol"/>
        <family val="1"/>
        <charset val="2"/>
      </rPr>
      <t>£</t>
    </r>
    <r>
      <rPr>
        <sz val="6"/>
        <rFont val="Arial"/>
        <family val="2"/>
      </rPr>
      <t xml:space="preserve"> </t>
    </r>
    <r>
      <rPr>
        <sz val="10"/>
        <rFont val="Arial"/>
        <family val="2"/>
      </rPr>
      <t xml:space="preserve">5,000 kPa): </t>
    </r>
  </si>
  <si>
    <r>
      <t xml:space="preserve">PAV-aged RAP Binder Low Critical Temperature (BBR S(t) </t>
    </r>
    <r>
      <rPr>
        <sz val="10"/>
        <rFont val="Symbol"/>
        <family val="1"/>
        <charset val="2"/>
      </rPr>
      <t>£</t>
    </r>
    <r>
      <rPr>
        <sz val="10"/>
        <rFont val="Arial"/>
        <family val="2"/>
      </rPr>
      <t xml:space="preserve"> 300 MPa): </t>
    </r>
  </si>
  <si>
    <r>
      <t xml:space="preserve">PAV-aged RAP Binder Low Critical Temperature (BBR m-value </t>
    </r>
    <r>
      <rPr>
        <sz val="10"/>
        <rFont val="Symbol"/>
        <family val="1"/>
        <charset val="2"/>
      </rPr>
      <t>³</t>
    </r>
    <r>
      <rPr>
        <sz val="10"/>
        <rFont val="Arial"/>
        <family val="2"/>
      </rPr>
      <t xml:space="preserve"> 0.3): </t>
    </r>
  </si>
  <si>
    <t>Binder Gb</t>
  </si>
  <si>
    <t xml:space="preserve">     RAP Binder</t>
  </si>
  <si>
    <t xml:space="preserve">     Target Blended Binder </t>
  </si>
  <si>
    <t xml:space="preserve">High Critical Temperature, C: </t>
  </si>
  <si>
    <t>Ohio</t>
  </si>
  <si>
    <t>SR 41</t>
  </si>
  <si>
    <t>PG 64-22</t>
  </si>
  <si>
    <t>Method 2</t>
  </si>
  <si>
    <t>LS</t>
  </si>
  <si>
    <t>Data included in this JMF packets is used for demonstration purposes and is not based on</t>
  </si>
  <si>
    <t>actual test results.</t>
  </si>
  <si>
    <t>Data included in this JMF packets is used for 
demonstration purposes and is not based on actual test results.</t>
  </si>
  <si>
    <t>Hot Mix USA - BCJMF</t>
  </si>
  <si>
    <t>25987Q-01</t>
  </si>
  <si>
    <t>Hot Mix USA - Columbus, OH (Plt #21)</t>
  </si>
  <si>
    <t>12301-01</t>
  </si>
  <si>
    <t>Hot Mix USA Terminal - Columbus, OH</t>
  </si>
  <si>
    <t>22092-01</t>
  </si>
  <si>
    <t>49971-01</t>
  </si>
  <si>
    <t>Hot Mix USA Crushed Stone - Columbus, OH</t>
  </si>
  <si>
    <t>49985-01</t>
  </si>
  <si>
    <t>Hot Mix USA Natural Stone - Columbus, OH</t>
  </si>
  <si>
    <t>John Blacktop</t>
  </si>
  <si>
    <t>QC/QA Manager</t>
  </si>
  <si>
    <t>Hot Mix USA</t>
  </si>
  <si>
    <t>One Best Mix Way</t>
  </si>
  <si>
    <t>Columbus</t>
  </si>
  <si>
    <t>(614) 123-4567</t>
  </si>
  <si>
    <t>(614) 987-6543</t>
  </si>
  <si>
    <t>jblacktop@hotmixusa.com</t>
  </si>
  <si>
    <t>24-5678</t>
  </si>
  <si>
    <t>FRA123456</t>
  </si>
  <si>
    <t>Christian Burch</t>
  </si>
  <si>
    <t>Gregory Herman</t>
  </si>
  <si>
    <t>Columbus, Ohio</t>
  </si>
  <si>
    <t>HMA Mix USA, Columbus Plant #21</t>
  </si>
  <si>
    <t>2024-HMA Mix USA-Plt #21-Columbus-9/16"-GR-A</t>
  </si>
  <si>
    <t>Columbus Plt #21</t>
  </si>
  <si>
    <t>Hot Mix USA, Columbus, Ohio</t>
  </si>
  <si>
    <t>Project 12-3456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</si>
</sst>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"/>
    <numFmt numFmtId="165" formatCode="0.0_)"/>
    <numFmt numFmtId="166" formatCode="0.000_)"/>
    <numFmt numFmtId="167" formatCode="0.000"/>
    <numFmt numFmtId="168" formatCode="mm/dd/yy"/>
    <numFmt numFmtId="169" formatCode="[&lt;=9999999]###\-####;\(###\)\ ###\-####"/>
    <numFmt numFmtId="170" formatCode="0000"/>
    <numFmt numFmtId="171" formatCode="00"/>
    <numFmt numFmtId="172" formatCode="m/d/yy;@"/>
    <numFmt numFmtId="173" formatCode="0.00000"/>
    <numFmt numFmtId="174" formatCode="mm/dd/yyyy"/>
    <numFmt numFmtId="175" formatCode="#,##0.0"/>
    <numFmt numFmtId="176" formatCode="mmm\-yyyy"/>
  </numFmts>
  <fonts count="6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u/>
      <sz val="24"/>
      <color indexed="48"/>
      <name val="Arial"/>
      <family val="2"/>
    </font>
    <font>
      <b/>
      <u/>
      <sz val="10"/>
      <color indexed="50"/>
      <name val="Arial"/>
      <family val="2"/>
    </font>
    <font>
      <u/>
      <sz val="10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0"/>
      <color indexed="12"/>
      <name val="Arial"/>
      <family val="2"/>
    </font>
    <font>
      <b/>
      <i/>
      <sz val="10"/>
      <name val="Arial"/>
      <family val="2"/>
    </font>
    <font>
      <b/>
      <sz val="12"/>
      <color indexed="12"/>
      <name val="Arial"/>
      <family val="2"/>
    </font>
    <font>
      <b/>
      <sz val="14"/>
      <color indexed="12"/>
      <name val="Arial"/>
      <family val="2"/>
    </font>
    <font>
      <b/>
      <u/>
      <sz val="10"/>
      <color indexed="10"/>
      <name val="Arial"/>
      <family val="2"/>
    </font>
    <font>
      <sz val="9"/>
      <name val="Arial"/>
      <family val="2"/>
    </font>
    <font>
      <i/>
      <u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i/>
      <sz val="7"/>
      <name val="Arial"/>
      <family val="2"/>
    </font>
    <font>
      <i/>
      <sz val="10"/>
      <name val="Arial"/>
      <family val="2"/>
    </font>
    <font>
      <sz val="8.5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.1999999999999993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rgb="FF0000CC"/>
      <name val="Arial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indexed="8"/>
      <name val="Calibri"/>
      <family val="2"/>
    </font>
    <font>
      <sz val="10"/>
      <name val="Symbol"/>
      <family val="1"/>
      <charset val="2"/>
    </font>
    <font>
      <sz val="6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CC"/>
      <name val="Arial"/>
      <family val="2"/>
    </font>
    <font>
      <b/>
      <sz val="8.5"/>
      <color rgb="FF0000CC"/>
      <name val="Arial"/>
      <family val="2"/>
    </font>
    <font>
      <sz val="11"/>
      <color rgb="FF0000CC"/>
      <name val="Calibri"/>
      <family val="2"/>
      <scheme val="minor"/>
    </font>
    <font>
      <sz val="11"/>
      <color rgb="FF0000CC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393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14">
    <xf numFmtId="0" fontId="0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1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55">
    <xf numFmtId="0" fontId="0" fillId="0" borderId="0" xfId="0"/>
    <xf numFmtId="0" fontId="0" fillId="7" borderId="0" xfId="0" applyFill="1"/>
    <xf numFmtId="49" fontId="0" fillId="7" borderId="0" xfId="0" applyNumberFormat="1" applyFill="1" applyAlignment="1">
      <alignment horizontal="center" vertical="center"/>
    </xf>
    <xf numFmtId="49" fontId="12" fillId="7" borderId="0" xfId="0" applyNumberFormat="1" applyFont="1" applyFill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72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49" fontId="12" fillId="5" borderId="1" xfId="0" applyNumberFormat="1" applyFont="1" applyFill="1" applyBorder="1" applyAlignment="1">
      <alignment horizontal="center" vertical="center"/>
    </xf>
    <xf numFmtId="0" fontId="12" fillId="7" borderId="0" xfId="0" applyFont="1" applyFill="1"/>
    <xf numFmtId="0" fontId="0" fillId="7" borderId="0" xfId="0" applyFill="1" applyAlignment="1">
      <alignment vertical="center"/>
    </xf>
    <xf numFmtId="0" fontId="12" fillId="7" borderId="0" xfId="0" applyFont="1" applyFill="1" applyAlignment="1">
      <alignment horizontal="left"/>
    </xf>
    <xf numFmtId="0" fontId="0" fillId="7" borderId="0" xfId="0" applyFill="1" applyAlignment="1">
      <alignment horizontal="left"/>
    </xf>
    <xf numFmtId="0" fontId="0" fillId="5" borderId="0" xfId="0" applyFill="1" applyAlignment="1">
      <alignment vertical="center"/>
    </xf>
    <xf numFmtId="0" fontId="8" fillId="7" borderId="1" xfId="5" applyFill="1" applyBorder="1" applyAlignment="1">
      <alignment horizontal="center" vertical="center"/>
    </xf>
    <xf numFmtId="0" fontId="11" fillId="5" borderId="1" xfId="2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1" fillId="7" borderId="1" xfId="2" applyFill="1" applyBorder="1" applyAlignment="1">
      <alignment horizontal="center" vertical="center"/>
    </xf>
    <xf numFmtId="0" fontId="11" fillId="7" borderId="0" xfId="2" applyFill="1" applyAlignment="1">
      <alignment horizontal="center" vertical="center"/>
    </xf>
    <xf numFmtId="0" fontId="11" fillId="7" borderId="0" xfId="2" applyFill="1"/>
    <xf numFmtId="0" fontId="0" fillId="5" borderId="1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0" fillId="5" borderId="0" xfId="0" applyFill="1"/>
    <xf numFmtId="0" fontId="48" fillId="7" borderId="0" xfId="3" applyFont="1" applyFill="1" applyAlignment="1">
      <alignment horizontal="center" vertical="center"/>
    </xf>
    <xf numFmtId="0" fontId="28" fillId="7" borderId="0" xfId="0" applyFont="1" applyFill="1"/>
    <xf numFmtId="0" fontId="0" fillId="5" borderId="0" xfId="0" applyFill="1" applyAlignment="1">
      <alignment horizontal="left"/>
    </xf>
    <xf numFmtId="0" fontId="52" fillId="0" borderId="0" xfId="1" quotePrefix="1" applyFont="1" applyAlignment="1">
      <alignment horizontal="center" vertical="center"/>
    </xf>
    <xf numFmtId="0" fontId="53" fillId="0" borderId="0" xfId="1" quotePrefix="1" applyFont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52" fillId="0" borderId="0" xfId="1" applyFont="1" applyAlignment="1">
      <alignment vertical="center"/>
    </xf>
    <xf numFmtId="0" fontId="50" fillId="5" borderId="0" xfId="0" applyFont="1" applyFill="1"/>
    <xf numFmtId="0" fontId="5" fillId="0" borderId="0" xfId="9"/>
    <xf numFmtId="0" fontId="52" fillId="5" borderId="0" xfId="0" applyFont="1" applyFill="1" applyAlignment="1">
      <alignment vertical="center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2" fillId="5" borderId="0" xfId="1" applyFont="1" applyFill="1" applyAlignment="1">
      <alignment vertical="center"/>
    </xf>
    <xf numFmtId="0" fontId="52" fillId="5" borderId="0" xfId="1" applyFont="1" applyFill="1" applyAlignment="1">
      <alignment horizontal="center" vertical="center"/>
    </xf>
    <xf numFmtId="0" fontId="58" fillId="0" borderId="0" xfId="1" applyFont="1" applyAlignment="1">
      <alignment vertical="center"/>
    </xf>
    <xf numFmtId="0" fontId="59" fillId="0" borderId="0" xfId="1" applyFont="1" applyAlignment="1">
      <alignment vertical="center"/>
    </xf>
    <xf numFmtId="0" fontId="54" fillId="0" borderId="0" xfId="1" applyFont="1" applyAlignment="1">
      <alignment vertical="center"/>
    </xf>
    <xf numFmtId="0" fontId="52" fillId="0" borderId="0" xfId="0" applyFont="1"/>
    <xf numFmtId="0" fontId="52" fillId="0" borderId="87" xfId="1" applyFont="1" applyBorder="1" applyAlignment="1">
      <alignment horizontal="center" vertical="center"/>
    </xf>
    <xf numFmtId="1" fontId="52" fillId="9" borderId="86" xfId="1" applyNumberFormat="1" applyFont="1" applyFill="1" applyBorder="1" applyAlignment="1">
      <alignment horizontal="center" vertical="center"/>
    </xf>
    <xf numFmtId="0" fontId="52" fillId="0" borderId="50" xfId="1" applyFont="1" applyBorder="1" applyAlignment="1">
      <alignment horizontal="center" vertical="center"/>
    </xf>
    <xf numFmtId="0" fontId="4" fillId="0" borderId="0" xfId="10" applyAlignment="1">
      <alignment horizontal="center"/>
    </xf>
    <xf numFmtId="0" fontId="4" fillId="0" borderId="0" xfId="10"/>
    <xf numFmtId="167" fontId="4" fillId="0" borderId="0" xfId="10" applyNumberFormat="1" applyAlignment="1">
      <alignment horizontal="center"/>
    </xf>
    <xf numFmtId="2" fontId="4" fillId="0" borderId="0" xfId="10" applyNumberFormat="1" applyAlignment="1">
      <alignment horizontal="center"/>
    </xf>
    <xf numFmtId="0" fontId="4" fillId="10" borderId="0" xfId="10" applyFill="1" applyAlignment="1">
      <alignment horizontal="center"/>
    </xf>
    <xf numFmtId="0" fontId="4" fillId="3" borderId="0" xfId="10" applyFill="1" applyAlignment="1">
      <alignment horizontal="center"/>
    </xf>
    <xf numFmtId="0" fontId="2" fillId="5" borderId="1" xfId="2" applyFont="1" applyFill="1" applyBorder="1" applyAlignment="1">
      <alignment horizontal="center" vertical="center"/>
    </xf>
    <xf numFmtId="0" fontId="55" fillId="8" borderId="1" xfId="8" applyFont="1" applyFill="1" applyBorder="1" applyAlignment="1">
      <alignment horizontal="center"/>
    </xf>
    <xf numFmtId="0" fontId="55" fillId="0" borderId="1" xfId="8" applyFont="1" applyBorder="1" applyAlignment="1">
      <alignment wrapText="1"/>
    </xf>
    <xf numFmtId="49" fontId="60" fillId="5" borderId="1" xfId="0" applyNumberFormat="1" applyFont="1" applyFill="1" applyBorder="1" applyAlignment="1">
      <alignment horizontal="center" vertical="center"/>
    </xf>
    <xf numFmtId="0" fontId="60" fillId="7" borderId="0" xfId="0" applyFont="1" applyFill="1"/>
    <xf numFmtId="49" fontId="60" fillId="7" borderId="1" xfId="0" applyNumberFormat="1" applyFont="1" applyFill="1" applyBorder="1" applyAlignment="1">
      <alignment horizontal="center" vertical="center"/>
    </xf>
    <xf numFmtId="49" fontId="60" fillId="7" borderId="0" xfId="0" applyNumberFormat="1" applyFont="1" applyFill="1" applyAlignment="1">
      <alignment horizontal="center" vertical="center"/>
    </xf>
    <xf numFmtId="49" fontId="60" fillId="7" borderId="1" xfId="0" quotePrefix="1" applyNumberFormat="1" applyFont="1" applyFill="1" applyBorder="1" applyAlignment="1">
      <alignment horizontal="center" vertical="center"/>
    </xf>
    <xf numFmtId="0" fontId="60" fillId="7" borderId="1" xfId="0" applyFont="1" applyFill="1" applyBorder="1" applyAlignment="1">
      <alignment horizontal="center" vertical="center"/>
    </xf>
    <xf numFmtId="0" fontId="52" fillId="2" borderId="0" xfId="1" applyFont="1" applyFill="1" applyAlignment="1">
      <alignment vertical="center"/>
    </xf>
    <xf numFmtId="0" fontId="58" fillId="0" borderId="0" xfId="0" applyFont="1" applyAlignment="1">
      <alignment vertical="center"/>
    </xf>
    <xf numFmtId="14" fontId="52" fillId="0" borderId="0" xfId="0" applyNumberFormat="1" applyFont="1" applyAlignment="1">
      <alignment horizontal="center" vertical="center"/>
    </xf>
    <xf numFmtId="0" fontId="59" fillId="0" borderId="0" xfId="1" applyFont="1" applyAlignment="1">
      <alignment horizontal="left" vertical="center"/>
    </xf>
    <xf numFmtId="0" fontId="59" fillId="0" borderId="0" xfId="1" applyFont="1" applyAlignment="1">
      <alignment horizontal="center" vertical="center"/>
    </xf>
    <xf numFmtId="14" fontId="59" fillId="0" borderId="0" xfId="1" applyNumberFormat="1" applyFont="1" applyAlignment="1">
      <alignment horizontal="center" vertical="center"/>
    </xf>
    <xf numFmtId="1" fontId="12" fillId="12" borderId="1" xfId="1" applyNumberFormat="1" applyFill="1" applyBorder="1" applyAlignment="1" applyProtection="1">
      <alignment horizontal="center" vertical="center"/>
      <protection locked="0"/>
    </xf>
    <xf numFmtId="1" fontId="12" fillId="12" borderId="5" xfId="1" applyNumberFormat="1" applyFill="1" applyBorder="1" applyAlignment="1" applyProtection="1">
      <alignment horizontal="center" vertical="center"/>
      <protection locked="0"/>
    </xf>
    <xf numFmtId="164" fontId="12" fillId="12" borderId="7" xfId="1" applyNumberFormat="1" applyFill="1" applyBorder="1" applyAlignment="1" applyProtection="1">
      <alignment horizontal="center" vertical="center"/>
      <protection locked="0"/>
    </xf>
    <xf numFmtId="1" fontId="12" fillId="12" borderId="0" xfId="1" applyNumberFormat="1" applyFill="1" applyAlignment="1" applyProtection="1">
      <alignment horizontal="center" vertical="center"/>
      <protection locked="0"/>
    </xf>
    <xf numFmtId="164" fontId="12" fillId="12" borderId="4" xfId="1" applyNumberFormat="1" applyFill="1" applyBorder="1" applyAlignment="1" applyProtection="1">
      <alignment horizontal="center" vertical="center"/>
      <protection locked="0"/>
    </xf>
    <xf numFmtId="1" fontId="12" fillId="12" borderId="6" xfId="1" applyNumberFormat="1" applyFill="1" applyBorder="1" applyAlignment="1" applyProtection="1">
      <alignment horizontal="center" vertical="center"/>
      <protection locked="0"/>
    </xf>
    <xf numFmtId="164" fontId="12" fillId="12" borderId="55" xfId="1" applyNumberFormat="1" applyFill="1" applyBorder="1" applyAlignment="1" applyProtection="1">
      <alignment horizontal="center" vertical="center"/>
      <protection locked="0"/>
    </xf>
    <xf numFmtId="164" fontId="32" fillId="12" borderId="28" xfId="0" applyNumberFormat="1" applyFont="1" applyFill="1" applyBorder="1" applyAlignment="1" applyProtection="1">
      <alignment horizontal="center" vertical="center"/>
      <protection locked="0"/>
    </xf>
    <xf numFmtId="1" fontId="12" fillId="12" borderId="72" xfId="1" applyNumberFormat="1" applyFill="1" applyBorder="1" applyAlignment="1" applyProtection="1">
      <alignment horizontal="center" vertical="center"/>
      <protection locked="0"/>
    </xf>
    <xf numFmtId="164" fontId="12" fillId="12" borderId="16" xfId="1" applyNumberFormat="1" applyFill="1" applyBorder="1" applyAlignment="1" applyProtection="1">
      <alignment horizontal="center" vertical="center"/>
      <protection locked="0"/>
    </xf>
    <xf numFmtId="1" fontId="19" fillId="12" borderId="48" xfId="0" applyNumberFormat="1" applyFont="1" applyFill="1" applyBorder="1" applyAlignment="1" applyProtection="1">
      <alignment horizontal="center" vertical="center"/>
      <protection locked="0"/>
    </xf>
    <xf numFmtId="1" fontId="19" fillId="12" borderId="49" xfId="0" applyNumberFormat="1" applyFont="1" applyFill="1" applyBorder="1" applyAlignment="1" applyProtection="1">
      <alignment horizontal="center" vertical="center"/>
      <protection locked="0"/>
    </xf>
    <xf numFmtId="164" fontId="19" fillId="12" borderId="50" xfId="0" applyNumberFormat="1" applyFont="1" applyFill="1" applyBorder="1" applyAlignment="1" applyProtection="1">
      <alignment horizontal="center" vertical="center"/>
      <protection locked="0"/>
    </xf>
    <xf numFmtId="1" fontId="12" fillId="12" borderId="17" xfId="1" applyNumberFormat="1" applyFill="1" applyBorder="1" applyAlignment="1" applyProtection="1">
      <alignment horizontal="center" vertical="center"/>
      <protection locked="0"/>
    </xf>
    <xf numFmtId="1" fontId="12" fillId="12" borderId="16" xfId="1" applyNumberFormat="1" applyFill="1" applyBorder="1" applyAlignment="1" applyProtection="1">
      <alignment horizontal="center" vertical="center"/>
      <protection locked="0"/>
    </xf>
    <xf numFmtId="1" fontId="12" fillId="12" borderId="26" xfId="1" applyNumberFormat="1" applyFill="1" applyBorder="1" applyAlignment="1" applyProtection="1">
      <alignment horizontal="center" vertical="center"/>
      <protection locked="0"/>
    </xf>
    <xf numFmtId="1" fontId="12" fillId="12" borderId="18" xfId="1" applyNumberFormat="1" applyFill="1" applyBorder="1" applyAlignment="1" applyProtection="1">
      <alignment horizontal="center" vertical="center"/>
      <protection locked="0"/>
    </xf>
    <xf numFmtId="1" fontId="12" fillId="12" borderId="15" xfId="1" applyNumberFormat="1" applyFill="1" applyBorder="1" applyAlignment="1" applyProtection="1">
      <alignment horizontal="center" vertical="center"/>
      <protection locked="0"/>
    </xf>
    <xf numFmtId="164" fontId="12" fillId="12" borderId="18" xfId="1" applyNumberFormat="1" applyFill="1" applyBorder="1" applyAlignment="1" applyProtection="1">
      <alignment horizontal="center" vertical="center"/>
      <protection locked="0"/>
    </xf>
    <xf numFmtId="164" fontId="12" fillId="12" borderId="1" xfId="1" applyNumberFormat="1" applyFill="1" applyBorder="1" applyAlignment="1" applyProtection="1">
      <alignment horizontal="center" vertical="center"/>
      <protection locked="0"/>
    </xf>
    <xf numFmtId="164" fontId="12" fillId="12" borderId="15" xfId="1" applyNumberFormat="1" applyFill="1" applyBorder="1" applyAlignment="1" applyProtection="1">
      <alignment horizontal="center" vertical="center"/>
      <protection locked="0"/>
    </xf>
    <xf numFmtId="164" fontId="12" fillId="12" borderId="24" xfId="1" applyNumberFormat="1" applyFill="1" applyBorder="1" applyAlignment="1" applyProtection="1">
      <alignment horizontal="center" vertical="center"/>
      <protection locked="0"/>
    </xf>
    <xf numFmtId="164" fontId="12" fillId="12" borderId="20" xfId="1" applyNumberFormat="1" applyFill="1" applyBorder="1" applyAlignment="1" applyProtection="1">
      <alignment horizontal="center" vertical="center"/>
      <protection locked="0"/>
    </xf>
    <xf numFmtId="164" fontId="12" fillId="12" borderId="25" xfId="1" applyNumberFormat="1" applyFill="1" applyBorder="1" applyAlignment="1" applyProtection="1">
      <alignment horizontal="center" vertical="center"/>
      <protection locked="0"/>
    </xf>
    <xf numFmtId="175" fontId="12" fillId="12" borderId="1" xfId="1" applyNumberFormat="1" applyFill="1" applyBorder="1" applyAlignment="1" applyProtection="1">
      <alignment horizontal="center" vertical="center"/>
      <protection locked="0"/>
    </xf>
    <xf numFmtId="165" fontId="12" fillId="12" borderId="1" xfId="1" applyNumberFormat="1" applyFill="1" applyBorder="1" applyAlignment="1" applyProtection="1">
      <alignment horizontal="center" vertical="center"/>
      <protection locked="0"/>
    </xf>
    <xf numFmtId="165" fontId="12" fillId="12" borderId="15" xfId="1" applyNumberFormat="1" applyFill="1" applyBorder="1" applyAlignment="1" applyProtection="1">
      <alignment horizontal="center" vertical="center"/>
      <protection locked="0"/>
    </xf>
    <xf numFmtId="164" fontId="16" fillId="12" borderId="1" xfId="0" applyNumberFormat="1" applyFont="1" applyFill="1" applyBorder="1" applyAlignment="1" applyProtection="1">
      <alignment horizontal="center" vertical="center"/>
      <protection locked="0"/>
    </xf>
    <xf numFmtId="164" fontId="16" fillId="12" borderId="15" xfId="0" applyNumberFormat="1" applyFont="1" applyFill="1" applyBorder="1" applyAlignment="1" applyProtection="1">
      <alignment horizontal="center" vertical="center"/>
      <protection locked="0"/>
    </xf>
    <xf numFmtId="1" fontId="12" fillId="13" borderId="1" xfId="1" applyNumberFormat="1" applyFill="1" applyBorder="1" applyAlignment="1" applyProtection="1">
      <alignment horizontal="center" vertical="center"/>
      <protection locked="0"/>
    </xf>
    <xf numFmtId="0" fontId="12" fillId="13" borderId="1" xfId="0" applyFont="1" applyFill="1" applyBorder="1" applyAlignment="1" applyProtection="1">
      <alignment horizontal="center"/>
      <protection locked="0"/>
    </xf>
    <xf numFmtId="0" fontId="12" fillId="4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45" fillId="4" borderId="0" xfId="0" applyFont="1" applyFill="1" applyAlignment="1">
      <alignment horizontal="right" vertical="center"/>
    </xf>
    <xf numFmtId="0" fontId="45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right" vertical="center"/>
    </xf>
    <xf numFmtId="164" fontId="19" fillId="4" borderId="0" xfId="0" applyNumberFormat="1" applyFont="1" applyFill="1" applyAlignment="1">
      <alignment horizontal="right" vertical="center"/>
    </xf>
    <xf numFmtId="0" fontId="12" fillId="4" borderId="0" xfId="0" applyFont="1" applyFill="1" applyAlignment="1">
      <alignment horizontal="right" vertical="center"/>
    </xf>
    <xf numFmtId="0" fontId="42" fillId="4" borderId="0" xfId="0" applyFont="1" applyFill="1" applyAlignment="1">
      <alignment horizontal="right" vertical="center"/>
    </xf>
    <xf numFmtId="0" fontId="42" fillId="4" borderId="6" xfId="0" applyFont="1" applyFill="1" applyBorder="1" applyAlignment="1">
      <alignment horizontal="right" vertical="center"/>
    </xf>
    <xf numFmtId="0" fontId="44" fillId="4" borderId="0" xfId="0" applyFont="1" applyFill="1" applyAlignment="1">
      <alignment vertical="center"/>
    </xf>
    <xf numFmtId="0" fontId="12" fillId="4" borderId="0" xfId="0" applyFont="1" applyFill="1" applyAlignment="1">
      <alignment horizontal="left" vertical="center"/>
    </xf>
    <xf numFmtId="0" fontId="50" fillId="4" borderId="0" xfId="0" applyFont="1" applyFill="1" applyAlignment="1">
      <alignment vertical="center"/>
    </xf>
    <xf numFmtId="0" fontId="44" fillId="4" borderId="7" xfId="0" applyFont="1" applyFill="1" applyBorder="1" applyAlignment="1">
      <alignment vertical="center"/>
    </xf>
    <xf numFmtId="0" fontId="44" fillId="4" borderId="4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50" fillId="5" borderId="0" xfId="0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44" fillId="7" borderId="0" xfId="0" applyFont="1" applyFill="1" applyAlignment="1">
      <alignment vertical="center"/>
    </xf>
    <xf numFmtId="0" fontId="12" fillId="7" borderId="0" xfId="0" applyFont="1" applyFill="1" applyAlignment="1">
      <alignment vertical="center"/>
    </xf>
    <xf numFmtId="14" fontId="47" fillId="4" borderId="0" xfId="0" applyNumberFormat="1" applyFont="1" applyFill="1" applyAlignment="1">
      <alignment horizontal="right" vertical="center"/>
    </xf>
    <xf numFmtId="0" fontId="51" fillId="5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164" fontId="12" fillId="7" borderId="5" xfId="0" applyNumberFormat="1" applyFont="1" applyFill="1" applyBorder="1" applyAlignment="1">
      <alignment vertical="center"/>
    </xf>
    <xf numFmtId="164" fontId="12" fillId="7" borderId="0" xfId="0" applyNumberFormat="1" applyFont="1" applyFill="1" applyAlignment="1">
      <alignment vertical="center"/>
    </xf>
    <xf numFmtId="164" fontId="12" fillId="4" borderId="0" xfId="0" applyNumberFormat="1" applyFont="1" applyFill="1" applyAlignment="1">
      <alignment horizontal="center" vertical="center"/>
    </xf>
    <xf numFmtId="0" fontId="44" fillId="5" borderId="0" xfId="0" applyFont="1" applyFill="1" applyAlignment="1">
      <alignment vertical="center"/>
    </xf>
    <xf numFmtId="0" fontId="45" fillId="5" borderId="0" xfId="0" applyFont="1" applyFill="1" applyAlignment="1">
      <alignment vertical="center"/>
    </xf>
    <xf numFmtId="0" fontId="12" fillId="7" borderId="36" xfId="0" applyFont="1" applyFill="1" applyBorder="1" applyAlignment="1">
      <alignment vertical="center"/>
    </xf>
    <xf numFmtId="0" fontId="37" fillId="11" borderId="16" xfId="0" applyFont="1" applyFill="1" applyBorder="1" applyAlignment="1">
      <alignment horizontal="center" vertical="center"/>
    </xf>
    <xf numFmtId="0" fontId="37" fillId="11" borderId="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vertical="center"/>
    </xf>
    <xf numFmtId="0" fontId="12" fillId="7" borderId="9" xfId="0" applyFont="1" applyFill="1" applyBorder="1" applyAlignment="1">
      <alignment vertical="center"/>
    </xf>
    <xf numFmtId="0" fontId="12" fillId="4" borderId="9" xfId="0" applyFont="1" applyFill="1" applyBorder="1" applyAlignment="1">
      <alignment vertical="center"/>
    </xf>
    <xf numFmtId="0" fontId="12" fillId="4" borderId="10" xfId="0" applyFont="1" applyFill="1" applyBorder="1" applyAlignment="1">
      <alignment vertical="center"/>
    </xf>
    <xf numFmtId="0" fontId="12" fillId="7" borderId="11" xfId="0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0" fontId="50" fillId="7" borderId="0" xfId="0" applyFont="1" applyFill="1" applyAlignment="1">
      <alignment vertical="center"/>
    </xf>
    <xf numFmtId="0" fontId="12" fillId="4" borderId="12" xfId="0" applyFont="1" applyFill="1" applyBorder="1" applyAlignment="1">
      <alignment vertical="center"/>
    </xf>
    <xf numFmtId="0" fontId="12" fillId="7" borderId="4" xfId="0" applyFont="1" applyFill="1" applyBorder="1" applyAlignment="1">
      <alignment vertical="center"/>
    </xf>
    <xf numFmtId="0" fontId="50" fillId="7" borderId="4" xfId="0" applyFont="1" applyFill="1" applyBorder="1" applyAlignment="1">
      <alignment vertical="center"/>
    </xf>
    <xf numFmtId="0" fontId="12" fillId="7" borderId="37" xfId="0" applyFont="1" applyFill="1" applyBorder="1" applyAlignment="1">
      <alignment vertical="center"/>
    </xf>
    <xf numFmtId="0" fontId="12" fillId="7" borderId="21" xfId="0" applyFont="1" applyFill="1" applyBorder="1" applyAlignment="1">
      <alignment vertical="center"/>
    </xf>
    <xf numFmtId="0" fontId="12" fillId="4" borderId="21" xfId="0" applyFont="1" applyFill="1" applyBorder="1" applyAlignment="1">
      <alignment vertical="center"/>
    </xf>
    <xf numFmtId="0" fontId="12" fillId="4" borderId="38" xfId="0" applyFont="1" applyFill="1" applyBorder="1" applyAlignment="1">
      <alignment vertical="center"/>
    </xf>
    <xf numFmtId="0" fontId="19" fillId="5" borderId="0" xfId="0" applyFont="1" applyFill="1" applyAlignment="1">
      <alignment vertical="center"/>
    </xf>
    <xf numFmtId="0" fontId="12" fillId="14" borderId="1" xfId="0" applyFont="1" applyFill="1" applyBorder="1" applyAlignment="1">
      <alignment horizontal="center" vertical="center" shrinkToFit="1"/>
    </xf>
    <xf numFmtId="164" fontId="12" fillId="5" borderId="0" xfId="0" applyNumberFormat="1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0" fontId="16" fillId="5" borderId="0" xfId="0" applyFont="1" applyFill="1" applyAlignment="1">
      <alignment vertical="center"/>
    </xf>
    <xf numFmtId="0" fontId="35" fillId="4" borderId="0" xfId="0" applyFont="1" applyFill="1" applyAlignment="1">
      <alignment vertical="center"/>
    </xf>
    <xf numFmtId="0" fontId="31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0" fontId="44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vertical="center"/>
    </xf>
    <xf numFmtId="14" fontId="44" fillId="4" borderId="0" xfId="0" quotePrefix="1" applyNumberFormat="1" applyFont="1" applyFill="1" applyAlignment="1">
      <alignment horizontal="center" vertical="center"/>
    </xf>
    <xf numFmtId="1" fontId="44" fillId="4" borderId="0" xfId="0" applyNumberFormat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14" fontId="62" fillId="4" borderId="28" xfId="0" quotePrefix="1" applyNumberFormat="1" applyFont="1" applyFill="1" applyBorder="1" applyAlignment="1">
      <alignment horizontal="center" vertical="center" shrinkToFit="1"/>
    </xf>
    <xf numFmtId="14" fontId="16" fillId="4" borderId="0" xfId="0" quotePrefix="1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18" fillId="4" borderId="0" xfId="0" applyFont="1" applyFill="1" applyAlignment="1">
      <alignment vertical="center"/>
    </xf>
    <xf numFmtId="0" fontId="18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6" fillId="14" borderId="0" xfId="0" applyFont="1" applyFill="1" applyAlignment="1">
      <alignment horizontal="center" vertical="center" shrinkToFit="1"/>
    </xf>
    <xf numFmtId="0" fontId="16" fillId="4" borderId="0" xfId="0" applyFont="1" applyFill="1" applyAlignment="1">
      <alignment horizontal="center" vertical="center" shrinkToFit="1"/>
    </xf>
    <xf numFmtId="1" fontId="16" fillId="14" borderId="0" xfId="0" applyNumberFormat="1" applyFont="1" applyFill="1" applyAlignment="1">
      <alignment horizontal="center" vertical="center" shrinkToFit="1"/>
    </xf>
    <xf numFmtId="12" fontId="16" fillId="4" borderId="0" xfId="0" applyNumberFormat="1" applyFont="1" applyFill="1" applyAlignment="1">
      <alignment horizontal="center" vertical="center" shrinkToFit="1"/>
    </xf>
    <xf numFmtId="164" fontId="14" fillId="4" borderId="0" xfId="0" applyNumberFormat="1" applyFont="1" applyFill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/>
    </xf>
    <xf numFmtId="164" fontId="32" fillId="4" borderId="0" xfId="0" applyNumberFormat="1" applyFont="1" applyFill="1" applyAlignment="1">
      <alignment horizontal="center" vertical="center"/>
    </xf>
    <xf numFmtId="164" fontId="19" fillId="15" borderId="0" xfId="0" applyNumberFormat="1" applyFont="1" applyFill="1" applyAlignment="1">
      <alignment horizontal="center" vertical="center"/>
    </xf>
    <xf numFmtId="0" fontId="33" fillId="4" borderId="0" xfId="0" applyFont="1" applyFill="1" applyAlignment="1">
      <alignment vertical="center"/>
    </xf>
    <xf numFmtId="0" fontId="16" fillId="5" borderId="0" xfId="0" applyFont="1" applyFill="1" applyAlignment="1">
      <alignment horizontal="centerContinuous" vertical="center"/>
    </xf>
    <xf numFmtId="0" fontId="13" fillId="11" borderId="3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vertical="center"/>
    </xf>
    <xf numFmtId="0" fontId="12" fillId="4" borderId="43" xfId="0" applyFont="1" applyFill="1" applyBorder="1" applyAlignment="1">
      <alignment horizontal="center" vertical="center"/>
    </xf>
    <xf numFmtId="0" fontId="12" fillId="4" borderId="66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1" fontId="16" fillId="4" borderId="0" xfId="0" applyNumberFormat="1" applyFont="1" applyFill="1" applyAlignment="1">
      <alignment horizontal="center" vertical="center"/>
    </xf>
    <xf numFmtId="1" fontId="16" fillId="14" borderId="5" xfId="0" applyNumberFormat="1" applyFont="1" applyFill="1" applyBorder="1" applyAlignment="1">
      <alignment horizontal="center" vertical="center"/>
    </xf>
    <xf numFmtId="1" fontId="16" fillId="14" borderId="0" xfId="0" applyNumberFormat="1" applyFont="1" applyFill="1" applyAlignment="1">
      <alignment horizontal="center" vertical="center"/>
    </xf>
    <xf numFmtId="1" fontId="16" fillId="14" borderId="6" xfId="0" applyNumberFormat="1" applyFont="1" applyFill="1" applyBorder="1" applyAlignment="1">
      <alignment horizontal="center" vertical="center"/>
    </xf>
    <xf numFmtId="1" fontId="12" fillId="15" borderId="0" xfId="0" applyNumberFormat="1" applyFont="1" applyFill="1" applyAlignment="1">
      <alignment horizontal="center" vertical="center"/>
    </xf>
    <xf numFmtId="1" fontId="19" fillId="4" borderId="0" xfId="0" applyNumberFormat="1" applyFont="1" applyFill="1" applyAlignment="1">
      <alignment horizontal="center" vertical="center"/>
    </xf>
    <xf numFmtId="0" fontId="16" fillId="15" borderId="0" xfId="0" applyFont="1" applyFill="1" applyAlignment="1">
      <alignment horizontal="center" vertical="center"/>
    </xf>
    <xf numFmtId="0" fontId="16" fillId="4" borderId="0" xfId="0" quotePrefix="1" applyFont="1" applyFill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1" fontId="12" fillId="5" borderId="0" xfId="0" applyNumberFormat="1" applyFont="1" applyFill="1" applyAlignment="1">
      <alignment horizontal="center" vertical="center"/>
    </xf>
    <xf numFmtId="1" fontId="50" fillId="5" borderId="0" xfId="0" applyNumberFormat="1" applyFont="1" applyFill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164" fontId="16" fillId="4" borderId="4" xfId="0" applyNumberFormat="1" applyFont="1" applyFill="1" applyBorder="1" applyAlignment="1">
      <alignment horizontal="center" vertical="center"/>
    </xf>
    <xf numFmtId="164" fontId="16" fillId="14" borderId="7" xfId="0" applyNumberFormat="1" applyFont="1" applyFill="1" applyBorder="1" applyAlignment="1">
      <alignment horizontal="center" vertical="center"/>
    </xf>
    <xf numFmtId="164" fontId="16" fillId="14" borderId="4" xfId="0" applyNumberFormat="1" applyFont="1" applyFill="1" applyBorder="1" applyAlignment="1">
      <alignment horizontal="center" vertical="center"/>
    </xf>
    <xf numFmtId="164" fontId="16" fillId="14" borderId="55" xfId="0" applyNumberFormat="1" applyFont="1" applyFill="1" applyBorder="1" applyAlignment="1">
      <alignment horizontal="center" vertical="center"/>
    </xf>
    <xf numFmtId="164" fontId="12" fillId="15" borderId="0" xfId="0" applyNumberFormat="1" applyFont="1" applyFill="1" applyAlignment="1">
      <alignment horizontal="center" vertical="center"/>
    </xf>
    <xf numFmtId="164" fontId="19" fillId="4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164" fontId="12" fillId="5" borderId="0" xfId="0" applyNumberFormat="1" applyFont="1" applyFill="1" applyAlignment="1">
      <alignment horizontal="center" vertical="center"/>
    </xf>
    <xf numFmtId="1" fontId="16" fillId="5" borderId="0" xfId="0" applyNumberFormat="1" applyFont="1" applyFill="1" applyAlignment="1">
      <alignment vertical="center"/>
    </xf>
    <xf numFmtId="0" fontId="47" fillId="4" borderId="0" xfId="0" applyFont="1" applyFill="1" applyAlignment="1">
      <alignment horizontal="right" vertical="center"/>
    </xf>
    <xf numFmtId="0" fontId="50" fillId="5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26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horizontal="left" vertical="center"/>
    </xf>
    <xf numFmtId="0" fontId="19" fillId="4" borderId="8" xfId="0" applyFont="1" applyFill="1" applyBorder="1" applyAlignment="1">
      <alignment vertical="center"/>
    </xf>
    <xf numFmtId="1" fontId="12" fillId="14" borderId="9" xfId="0" applyNumberFormat="1" applyFont="1" applyFill="1" applyBorder="1" applyAlignment="1">
      <alignment horizontal="center" vertical="center"/>
    </xf>
    <xf numFmtId="0" fontId="44" fillId="4" borderId="9" xfId="0" applyFont="1" applyFill="1" applyBorder="1" applyAlignment="1">
      <alignment vertical="center"/>
    </xf>
    <xf numFmtId="0" fontId="19" fillId="4" borderId="9" xfId="0" applyFont="1" applyFill="1" applyBorder="1" applyAlignment="1">
      <alignment horizontal="right" vertical="center"/>
    </xf>
    <xf numFmtId="0" fontId="19" fillId="4" borderId="11" xfId="0" applyFont="1" applyFill="1" applyBorder="1" applyAlignment="1">
      <alignment vertical="center"/>
    </xf>
    <xf numFmtId="0" fontId="16" fillId="4" borderId="12" xfId="0" applyFont="1" applyFill="1" applyBorder="1" applyAlignment="1">
      <alignment vertical="center"/>
    </xf>
    <xf numFmtId="0" fontId="16" fillId="4" borderId="27" xfId="0" applyFont="1" applyFill="1" applyBorder="1" applyAlignment="1">
      <alignment vertical="center"/>
    </xf>
    <xf numFmtId="0" fontId="16" fillId="4" borderId="28" xfId="0" applyFont="1" applyFill="1" applyBorder="1" applyAlignment="1">
      <alignment vertical="center"/>
    </xf>
    <xf numFmtId="0" fontId="16" fillId="4" borderId="29" xfId="0" applyFont="1" applyFill="1" applyBorder="1" applyAlignment="1">
      <alignment vertical="center"/>
    </xf>
    <xf numFmtId="0" fontId="40" fillId="11" borderId="30" xfId="0" applyFont="1" applyFill="1" applyBorder="1" applyAlignment="1">
      <alignment horizontal="center" vertical="center"/>
    </xf>
    <xf numFmtId="0" fontId="40" fillId="11" borderId="0" xfId="0" applyFont="1" applyFill="1" applyAlignment="1">
      <alignment horizontal="center" vertical="center"/>
    </xf>
    <xf numFmtId="0" fontId="40" fillId="11" borderId="88" xfId="0" applyFont="1" applyFill="1" applyBorder="1" applyAlignment="1">
      <alignment horizontal="center" vertical="center"/>
    </xf>
    <xf numFmtId="0" fontId="40" fillId="11" borderId="69" xfId="0" applyFont="1" applyFill="1" applyBorder="1" applyAlignment="1">
      <alignment horizontal="center" vertical="center"/>
    </xf>
    <xf numFmtId="0" fontId="40" fillId="11" borderId="89" xfId="0" applyFont="1" applyFill="1" applyBorder="1" applyAlignment="1">
      <alignment horizontal="center" vertical="center"/>
    </xf>
    <xf numFmtId="0" fontId="40" fillId="11" borderId="12" xfId="0" applyFont="1" applyFill="1" applyBorder="1" applyAlignment="1">
      <alignment horizontal="center" vertical="center"/>
    </xf>
    <xf numFmtId="2" fontId="19" fillId="4" borderId="0" xfId="0" applyNumberFormat="1" applyFont="1" applyFill="1" applyAlignment="1">
      <alignment horizontal="left" vertical="center"/>
    </xf>
    <xf numFmtId="0" fontId="40" fillId="11" borderId="32" xfId="0" applyFont="1" applyFill="1" applyBorder="1" applyAlignment="1">
      <alignment horizontal="center" vertical="center"/>
    </xf>
    <xf numFmtId="0" fontId="40" fillId="11" borderId="28" xfId="0" applyFont="1" applyFill="1" applyBorder="1" applyAlignment="1">
      <alignment horizontal="center" vertical="center"/>
    </xf>
    <xf numFmtId="0" fontId="37" fillId="11" borderId="32" xfId="0" applyFont="1" applyFill="1" applyBorder="1" applyAlignment="1">
      <alignment horizontal="center" vertical="center"/>
    </xf>
    <xf numFmtId="0" fontId="37" fillId="11" borderId="33" xfId="0" applyFont="1" applyFill="1" applyBorder="1" applyAlignment="1">
      <alignment horizontal="center" vertical="center"/>
    </xf>
    <xf numFmtId="0" fontId="37" fillId="11" borderId="51" xfId="0" applyFont="1" applyFill="1" applyBorder="1" applyAlignment="1">
      <alignment horizontal="center" vertical="center"/>
    </xf>
    <xf numFmtId="0" fontId="37" fillId="11" borderId="34" xfId="0" applyFont="1" applyFill="1" applyBorder="1" applyAlignment="1">
      <alignment horizontal="center" vertical="center"/>
    </xf>
    <xf numFmtId="0" fontId="40" fillId="11" borderId="29" xfId="0" applyFont="1" applyFill="1" applyBorder="1" applyAlignment="1">
      <alignment horizontal="center" vertical="center"/>
    </xf>
    <xf numFmtId="0" fontId="40" fillId="11" borderId="17" xfId="0" applyFont="1" applyFill="1" applyBorder="1" applyAlignment="1">
      <alignment horizontal="center" vertical="center"/>
    </xf>
    <xf numFmtId="0" fontId="40" fillId="11" borderId="7" xfId="0" applyFont="1" applyFill="1" applyBorder="1" applyAlignment="1">
      <alignment horizontal="center" vertical="center"/>
    </xf>
    <xf numFmtId="1" fontId="19" fillId="15" borderId="39" xfId="0" applyNumberFormat="1" applyFont="1" applyFill="1" applyBorder="1" applyAlignment="1">
      <alignment horizontal="center" vertical="center" shrinkToFit="1"/>
    </xf>
    <xf numFmtId="1" fontId="0" fillId="15" borderId="0" xfId="0" applyNumberFormat="1" applyFill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0" fontId="40" fillId="11" borderId="18" xfId="0" applyFont="1" applyFill="1" applyBorder="1" applyAlignment="1">
      <alignment horizontal="center" vertical="center"/>
    </xf>
    <xf numFmtId="12" fontId="40" fillId="11" borderId="40" xfId="0" applyNumberFormat="1" applyFont="1" applyFill="1" applyBorder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40" fillId="11" borderId="40" xfId="0" applyFont="1" applyFill="1" applyBorder="1" applyAlignment="1">
      <alignment horizontal="center" vertical="center"/>
    </xf>
    <xf numFmtId="164" fontId="12" fillId="4" borderId="0" xfId="0" applyNumberFormat="1" applyFont="1" applyFill="1" applyAlignment="1">
      <alignment horizontal="left" vertical="center"/>
    </xf>
    <xf numFmtId="0" fontId="40" fillId="11" borderId="35" xfId="0" applyFont="1" applyFill="1" applyBorder="1" applyAlignment="1">
      <alignment horizontal="center" vertical="center"/>
    </xf>
    <xf numFmtId="0" fontId="40" fillId="11" borderId="41" xfId="0" applyFont="1" applyFill="1" applyBorder="1" applyAlignment="1">
      <alignment horizontal="center" vertical="center"/>
    </xf>
    <xf numFmtId="164" fontId="19" fillId="15" borderId="39" xfId="0" applyNumberFormat="1" applyFont="1" applyFill="1" applyBorder="1" applyAlignment="1">
      <alignment horizontal="center" vertical="center" shrinkToFit="1"/>
    </xf>
    <xf numFmtId="2" fontId="12" fillId="4" borderId="0" xfId="0" applyNumberFormat="1" applyFont="1" applyFill="1" applyAlignment="1">
      <alignment horizontal="center" vertical="center"/>
    </xf>
    <xf numFmtId="0" fontId="40" fillId="11" borderId="42" xfId="0" applyFont="1" applyFill="1" applyBorder="1" applyAlignment="1">
      <alignment vertical="center"/>
    </xf>
    <xf numFmtId="0" fontId="37" fillId="11" borderId="43" xfId="0" applyFont="1" applyFill="1" applyBorder="1" applyAlignment="1">
      <alignment vertical="center"/>
    </xf>
    <xf numFmtId="164" fontId="19" fillId="15" borderId="38" xfId="0" applyNumberFormat="1" applyFont="1" applyFill="1" applyBorder="1" applyAlignment="1">
      <alignment horizontal="center" vertical="center" shrinkToFit="1"/>
    </xf>
    <xf numFmtId="164" fontId="0" fillId="15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73" fontId="0" fillId="5" borderId="0" xfId="0" applyNumberFormat="1" applyFill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0" xfId="0" applyFill="1" applyAlignment="1">
      <alignment horizontal="left" vertical="center"/>
    </xf>
    <xf numFmtId="0" fontId="0" fillId="4" borderId="37" xfId="0" applyFill="1" applyBorder="1" applyAlignment="1">
      <alignment vertical="center"/>
    </xf>
    <xf numFmtId="0" fontId="0" fillId="4" borderId="21" xfId="0" applyFill="1" applyBorder="1" applyAlignment="1">
      <alignment vertical="center"/>
    </xf>
    <xf numFmtId="0" fontId="0" fillId="4" borderId="38" xfId="0" applyFill="1" applyBorder="1" applyAlignment="1">
      <alignment vertical="center"/>
    </xf>
    <xf numFmtId="0" fontId="45" fillId="5" borderId="0" xfId="0" applyFont="1" applyFill="1" applyAlignment="1">
      <alignment horizontal="left" vertical="center"/>
    </xf>
    <xf numFmtId="0" fontId="40" fillId="11" borderId="11" xfId="0" applyFont="1" applyFill="1" applyBorder="1" applyAlignment="1">
      <alignment horizontal="center" vertical="center"/>
    </xf>
    <xf numFmtId="0" fontId="40" fillId="11" borderId="5" xfId="0" applyFont="1" applyFill="1" applyBorder="1" applyAlignment="1">
      <alignment horizontal="center" vertical="center"/>
    </xf>
    <xf numFmtId="0" fontId="40" fillId="11" borderId="31" xfId="0" applyFont="1" applyFill="1" applyBorder="1" applyAlignment="1">
      <alignment horizontal="center" vertical="center"/>
    </xf>
    <xf numFmtId="172" fontId="19" fillId="14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Continuous" vertical="center"/>
    </xf>
    <xf numFmtId="0" fontId="0" fillId="4" borderId="0" xfId="0" applyFill="1" applyAlignment="1">
      <alignment horizontal="centerContinuous" vertical="center"/>
    </xf>
    <xf numFmtId="0" fontId="29" fillId="4" borderId="0" xfId="0" applyFont="1" applyFill="1" applyAlignment="1">
      <alignment horizontal="right" vertical="center"/>
    </xf>
    <xf numFmtId="0" fontId="16" fillId="7" borderId="0" xfId="0" applyFont="1" applyFill="1" applyAlignment="1">
      <alignment vertical="center"/>
    </xf>
    <xf numFmtId="0" fontId="0" fillId="7" borderId="0" xfId="0" applyFill="1" applyAlignment="1">
      <alignment horizontal="center"/>
    </xf>
    <xf numFmtId="0" fontId="0" fillId="7" borderId="73" xfId="0" applyFill="1" applyBorder="1" applyAlignment="1">
      <alignment horizontal="center"/>
    </xf>
    <xf numFmtId="0" fontId="0" fillId="7" borderId="74" xfId="0" applyFill="1" applyBorder="1" applyAlignment="1">
      <alignment horizontal="center"/>
    </xf>
    <xf numFmtId="0" fontId="0" fillId="7" borderId="75" xfId="0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7" borderId="76" xfId="0" applyFill="1" applyBorder="1" applyAlignment="1">
      <alignment horizontal="center"/>
    </xf>
    <xf numFmtId="0" fontId="12" fillId="7" borderId="0" xfId="0" applyFont="1" applyFill="1" applyAlignment="1">
      <alignment horizontal="right"/>
    </xf>
    <xf numFmtId="0" fontId="12" fillId="7" borderId="0" xfId="0" applyFont="1" applyFill="1" applyAlignment="1">
      <alignment horizontal="center"/>
    </xf>
    <xf numFmtId="0" fontId="0" fillId="7" borderId="77" xfId="0" applyFill="1" applyBorder="1" applyAlignment="1">
      <alignment horizontal="center"/>
    </xf>
    <xf numFmtId="0" fontId="44" fillId="5" borderId="0" xfId="0" applyFont="1" applyFill="1" applyAlignment="1">
      <alignment horizontal="left"/>
    </xf>
    <xf numFmtId="0" fontId="0" fillId="7" borderId="78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7" borderId="79" xfId="0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12" fillId="5" borderId="0" xfId="1" applyFill="1" applyAlignment="1">
      <alignment horizontal="center"/>
    </xf>
    <xf numFmtId="164" fontId="12" fillId="5" borderId="0" xfId="1" applyNumberFormat="1" applyFill="1" applyAlignment="1">
      <alignment horizontal="center"/>
    </xf>
    <xf numFmtId="2" fontId="12" fillId="5" borderId="0" xfId="1" applyNumberFormat="1" applyFill="1" applyAlignment="1">
      <alignment horizontal="center"/>
    </xf>
    <xf numFmtId="0" fontId="12" fillId="0" borderId="0" xfId="1" applyAlignment="1">
      <alignment horizontal="right" vertical="center"/>
    </xf>
    <xf numFmtId="164" fontId="12" fillId="14" borderId="1" xfId="1" applyNumberFormat="1" applyFill="1" applyBorder="1" applyAlignment="1">
      <alignment horizontal="center" vertical="center"/>
    </xf>
    <xf numFmtId="0" fontId="0" fillId="7" borderId="73" xfId="0" applyFill="1" applyBorder="1" applyAlignment="1">
      <alignment horizontal="center" vertical="center"/>
    </xf>
    <xf numFmtId="0" fontId="0" fillId="7" borderId="74" xfId="0" applyFill="1" applyBorder="1" applyAlignment="1">
      <alignment horizontal="center" vertical="center"/>
    </xf>
    <xf numFmtId="0" fontId="0" fillId="7" borderId="75" xfId="0" applyFill="1" applyBorder="1" applyAlignment="1">
      <alignment horizontal="center" vertical="center"/>
    </xf>
    <xf numFmtId="0" fontId="12" fillId="7" borderId="0" xfId="1" applyFill="1" applyAlignment="1">
      <alignment vertical="center"/>
    </xf>
    <xf numFmtId="0" fontId="19" fillId="7" borderId="76" xfId="0" applyFont="1" applyFill="1" applyBorder="1" applyAlignment="1">
      <alignment horizontal="left" vertical="center"/>
    </xf>
    <xf numFmtId="0" fontId="12" fillId="7" borderId="0" xfId="1" applyFill="1" applyAlignment="1">
      <alignment horizontal="right" vertical="center"/>
    </xf>
    <xf numFmtId="0" fontId="12" fillId="15" borderId="1" xfId="1" applyFill="1" applyBorder="1" applyAlignment="1">
      <alignment horizontal="center" vertical="center"/>
    </xf>
    <xf numFmtId="0" fontId="0" fillId="7" borderId="77" xfId="0" applyFill="1" applyBorder="1" applyAlignment="1">
      <alignment horizontal="center" vertical="center"/>
    </xf>
    <xf numFmtId="164" fontId="12" fillId="15" borderId="1" xfId="1" applyNumberFormat="1" applyFill="1" applyBorder="1" applyAlignment="1">
      <alignment horizontal="center" vertical="center"/>
    </xf>
    <xf numFmtId="0" fontId="0" fillId="7" borderId="76" xfId="0" applyFill="1" applyBorder="1" applyAlignment="1">
      <alignment horizontal="center" vertical="center"/>
    </xf>
    <xf numFmtId="2" fontId="12" fillId="15" borderId="1" xfId="1" applyNumberFormat="1" applyFill="1" applyBorder="1" applyAlignment="1">
      <alignment horizontal="center" vertical="center"/>
    </xf>
    <xf numFmtId="0" fontId="0" fillId="7" borderId="78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7" borderId="79" xfId="0" applyFill="1" applyBorder="1" applyAlignment="1">
      <alignment horizontal="center" vertical="center"/>
    </xf>
    <xf numFmtId="0" fontId="47" fillId="7" borderId="0" xfId="0" applyFont="1" applyFill="1" applyAlignment="1">
      <alignment horizontal="right" vertical="center"/>
    </xf>
    <xf numFmtId="167" fontId="16" fillId="4" borderId="0" xfId="0" applyNumberFormat="1" applyFont="1" applyFill="1" applyAlignment="1">
      <alignment vertical="center"/>
    </xf>
    <xf numFmtId="0" fontId="16" fillId="4" borderId="11" xfId="0" applyFont="1" applyFill="1" applyBorder="1" applyAlignment="1">
      <alignment vertical="center"/>
    </xf>
    <xf numFmtId="0" fontId="16" fillId="6" borderId="18" xfId="0" applyFont="1" applyFill="1" applyBorder="1" applyAlignment="1">
      <alignment horizontal="left" vertical="center"/>
    </xf>
    <xf numFmtId="164" fontId="12" fillId="14" borderId="15" xfId="1" applyNumberFormat="1" applyFill="1" applyBorder="1" applyAlignment="1">
      <alignment horizontal="center" vertical="center"/>
    </xf>
    <xf numFmtId="165" fontId="16" fillId="15" borderId="1" xfId="0" applyNumberFormat="1" applyFont="1" applyFill="1" applyBorder="1" applyAlignment="1">
      <alignment horizontal="center" vertical="center"/>
    </xf>
    <xf numFmtId="165" fontId="16" fillId="15" borderId="15" xfId="0" applyNumberFormat="1" applyFont="1" applyFill="1" applyBorder="1" applyAlignment="1">
      <alignment horizontal="center" vertical="center"/>
    </xf>
    <xf numFmtId="164" fontId="16" fillId="15" borderId="1" xfId="0" applyNumberFormat="1" applyFont="1" applyFill="1" applyBorder="1" applyAlignment="1">
      <alignment horizontal="center" vertical="center"/>
    </xf>
    <xf numFmtId="164" fontId="16" fillId="15" borderId="15" xfId="0" applyNumberFormat="1" applyFont="1" applyFill="1" applyBorder="1" applyAlignment="1">
      <alignment horizontal="center" vertical="center"/>
    </xf>
    <xf numFmtId="166" fontId="16" fillId="15" borderId="1" xfId="0" applyNumberFormat="1" applyFont="1" applyFill="1" applyBorder="1" applyAlignment="1">
      <alignment horizontal="center" vertical="center"/>
    </xf>
    <xf numFmtId="166" fontId="16" fillId="15" borderId="15" xfId="0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right" vertical="center" shrinkToFit="1"/>
    </xf>
    <xf numFmtId="0" fontId="16" fillId="4" borderId="37" xfId="0" applyFont="1" applyFill="1" applyBorder="1" applyAlignment="1">
      <alignment vertical="center"/>
    </xf>
    <xf numFmtId="166" fontId="16" fillId="4" borderId="21" xfId="0" applyNumberFormat="1" applyFont="1" applyFill="1" applyBorder="1" applyAlignment="1">
      <alignment vertical="center"/>
    </xf>
    <xf numFmtId="0" fontId="16" fillId="4" borderId="21" xfId="0" applyFont="1" applyFill="1" applyBorder="1" applyAlignment="1">
      <alignment vertical="center"/>
    </xf>
    <xf numFmtId="0" fontId="16" fillId="4" borderId="38" xfId="0" applyFont="1" applyFill="1" applyBorder="1" applyAlignment="1">
      <alignment vertical="center"/>
    </xf>
    <xf numFmtId="166" fontId="16" fillId="4" borderId="0" xfId="0" applyNumberFormat="1" applyFont="1" applyFill="1" applyAlignment="1">
      <alignment vertical="center"/>
    </xf>
    <xf numFmtId="0" fontId="19" fillId="6" borderId="18" xfId="0" applyFont="1" applyFill="1" applyBorder="1" applyAlignment="1">
      <alignment horizontal="center" vertical="center" shrinkToFit="1"/>
    </xf>
    <xf numFmtId="0" fontId="19" fillId="6" borderId="1" xfId="0" applyFont="1" applyFill="1" applyBorder="1" applyAlignment="1">
      <alignment horizontal="center" vertical="center" shrinkToFit="1"/>
    </xf>
    <xf numFmtId="0" fontId="24" fillId="6" borderId="40" xfId="0" applyFont="1" applyFill="1" applyBorder="1" applyAlignment="1">
      <alignment horizontal="center" vertical="center"/>
    </xf>
    <xf numFmtId="0" fontId="12" fillId="14" borderId="18" xfId="0" applyFont="1" applyFill="1" applyBorder="1" applyAlignment="1">
      <alignment horizontal="left" vertical="center" shrinkToFit="1"/>
    </xf>
    <xf numFmtId="0" fontId="12" fillId="14" borderId="14" xfId="0" applyFont="1" applyFill="1" applyBorder="1" applyAlignment="1">
      <alignment horizontal="center" vertical="center"/>
    </xf>
    <xf numFmtId="166" fontId="12" fillId="14" borderId="40" xfId="0" applyNumberFormat="1" applyFont="1" applyFill="1" applyBorder="1" applyAlignment="1">
      <alignment horizontal="center" vertical="center"/>
    </xf>
    <xf numFmtId="0" fontId="19" fillId="6" borderId="52" xfId="0" applyFont="1" applyFill="1" applyBorder="1" applyAlignment="1">
      <alignment horizontal="center" vertical="center" shrinkToFit="1"/>
    </xf>
    <xf numFmtId="0" fontId="44" fillId="4" borderId="44" xfId="0" applyFont="1" applyFill="1" applyBorder="1" applyAlignment="1">
      <alignment horizontal="center" vertical="center"/>
    </xf>
    <xf numFmtId="0" fontId="16" fillId="14" borderId="18" xfId="0" applyFont="1" applyFill="1" applyBorder="1" applyAlignment="1">
      <alignment horizontal="left" vertical="center"/>
    </xf>
    <xf numFmtId="0" fontId="12" fillId="14" borderId="1" xfId="0" applyFont="1" applyFill="1" applyBorder="1" applyAlignment="1">
      <alignment horizontal="center" vertical="center"/>
    </xf>
    <xf numFmtId="0" fontId="44" fillId="4" borderId="1" xfId="0" quotePrefix="1" applyFont="1" applyFill="1" applyBorder="1" applyAlignment="1">
      <alignment horizontal="center" vertical="center"/>
    </xf>
    <xf numFmtId="0" fontId="44" fillId="4" borderId="4" xfId="0" quotePrefix="1" applyFont="1" applyFill="1" applyBorder="1" applyAlignment="1">
      <alignment horizontal="center" vertical="center"/>
    </xf>
    <xf numFmtId="0" fontId="12" fillId="14" borderId="18" xfId="0" applyFont="1" applyFill="1" applyBorder="1" applyAlignment="1">
      <alignment horizontal="left" vertical="center"/>
    </xf>
    <xf numFmtId="0" fontId="44" fillId="4" borderId="44" xfId="0" quotePrefix="1" applyFont="1" applyFill="1" applyBorder="1" applyAlignment="1">
      <alignment horizontal="center" vertical="center"/>
    </xf>
    <xf numFmtId="0" fontId="43" fillId="4" borderId="11" xfId="0" applyFont="1" applyFill="1" applyBorder="1" applyAlignment="1">
      <alignment horizontal="left" vertical="center"/>
    </xf>
    <xf numFmtId="0" fontId="46" fillId="4" borderId="0" xfId="0" applyFont="1" applyFill="1" applyAlignment="1">
      <alignment horizontal="right" vertical="center"/>
    </xf>
    <xf numFmtId="166" fontId="19" fillId="15" borderId="28" xfId="0" applyNumberFormat="1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left" vertical="center"/>
    </xf>
    <xf numFmtId="166" fontId="19" fillId="4" borderId="21" xfId="0" applyNumberFormat="1" applyFont="1" applyFill="1" applyBorder="1" applyAlignment="1">
      <alignment horizontal="left" vertical="center"/>
    </xf>
    <xf numFmtId="0" fontId="41" fillId="4" borderId="0" xfId="0" applyFont="1" applyFill="1" applyAlignment="1">
      <alignment horizontal="right" vertical="center"/>
    </xf>
    <xf numFmtId="0" fontId="51" fillId="5" borderId="0" xfId="0" applyFont="1" applyFill="1" applyAlignment="1">
      <alignment horizontal="left" vertical="center"/>
    </xf>
    <xf numFmtId="0" fontId="44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2" fillId="4" borderId="0" xfId="1" applyFill="1" applyAlignment="1">
      <alignment vertical="center"/>
    </xf>
    <xf numFmtId="0" fontId="12" fillId="5" borderId="0" xfId="1" applyFill="1" applyAlignment="1">
      <alignment vertical="center"/>
    </xf>
    <xf numFmtId="0" fontId="45" fillId="4" borderId="0" xfId="1" applyFont="1" applyFill="1" applyAlignment="1">
      <alignment horizontal="right" vertical="center"/>
    </xf>
    <xf numFmtId="0" fontId="45" fillId="4" borderId="0" xfId="1" applyFont="1" applyFill="1" applyAlignment="1">
      <alignment horizontal="center" vertical="center"/>
    </xf>
    <xf numFmtId="0" fontId="12" fillId="4" borderId="0" xfId="1" applyFill="1" applyAlignment="1">
      <alignment horizontal="center" vertical="center"/>
    </xf>
    <xf numFmtId="0" fontId="19" fillId="4" borderId="0" xfId="1" applyFont="1" applyFill="1" applyAlignment="1">
      <alignment horizontal="right" vertical="center"/>
    </xf>
    <xf numFmtId="164" fontId="19" fillId="4" borderId="0" xfId="1" applyNumberFormat="1" applyFont="1" applyFill="1" applyAlignment="1">
      <alignment horizontal="right" vertical="center"/>
    </xf>
    <xf numFmtId="0" fontId="12" fillId="4" borderId="0" xfId="1" applyFill="1" applyAlignment="1">
      <alignment horizontal="right" vertical="center"/>
    </xf>
    <xf numFmtId="0" fontId="19" fillId="4" borderId="0" xfId="1" applyFont="1" applyFill="1" applyAlignment="1">
      <alignment vertical="center"/>
    </xf>
    <xf numFmtId="0" fontId="12" fillId="4" borderId="0" xfId="1" applyFill="1" applyAlignment="1">
      <alignment horizontal="left" vertical="center"/>
    </xf>
    <xf numFmtId="0" fontId="44" fillId="4" borderId="0" xfId="1" applyFont="1" applyFill="1" applyAlignment="1">
      <alignment vertical="center"/>
    </xf>
    <xf numFmtId="0" fontId="12" fillId="4" borderId="4" xfId="1" applyFill="1" applyBorder="1" applyAlignment="1">
      <alignment vertical="center"/>
    </xf>
    <xf numFmtId="0" fontId="12" fillId="4" borderId="40" xfId="1" applyFill="1" applyBorder="1" applyAlignment="1">
      <alignment vertical="center"/>
    </xf>
    <xf numFmtId="0" fontId="12" fillId="4" borderId="44" xfId="1" applyFill="1" applyBorder="1" applyAlignment="1">
      <alignment vertical="center"/>
    </xf>
    <xf numFmtId="0" fontId="12" fillId="4" borderId="14" xfId="1" applyFill="1" applyBorder="1" applyAlignment="1">
      <alignment vertical="center"/>
    </xf>
    <xf numFmtId="0" fontId="12" fillId="4" borderId="41" xfId="1" applyFill="1" applyBorder="1" applyAlignment="1">
      <alignment vertical="center"/>
    </xf>
    <xf numFmtId="0" fontId="12" fillId="4" borderId="13" xfId="1" applyFill="1" applyBorder="1" applyAlignment="1">
      <alignment vertical="center"/>
    </xf>
    <xf numFmtId="0" fontId="12" fillId="4" borderId="54" xfId="1" applyFill="1" applyBorder="1" applyAlignment="1">
      <alignment vertical="center"/>
    </xf>
    <xf numFmtId="0" fontId="12" fillId="4" borderId="7" xfId="1" applyFill="1" applyBorder="1" applyAlignment="1">
      <alignment vertical="center"/>
    </xf>
    <xf numFmtId="0" fontId="12" fillId="4" borderId="55" xfId="1" applyFill="1" applyBorder="1" applyAlignment="1">
      <alignment vertical="center"/>
    </xf>
    <xf numFmtId="14" fontId="47" fillId="4" borderId="0" xfId="1" applyNumberFormat="1" applyFont="1" applyFill="1" applyAlignment="1">
      <alignment horizontal="right" vertical="center"/>
    </xf>
    <xf numFmtId="0" fontId="51" fillId="5" borderId="0" xfId="1" applyFont="1" applyFill="1" applyAlignment="1">
      <alignment horizontal="center" vertical="center"/>
    </xf>
    <xf numFmtId="0" fontId="45" fillId="7" borderId="0" xfId="0" applyFont="1" applyFill="1"/>
    <xf numFmtId="0" fontId="63" fillId="7" borderId="0" xfId="2" applyFont="1" applyFill="1" applyAlignment="1">
      <alignment horizontal="center" vertical="center"/>
    </xf>
    <xf numFmtId="49" fontId="50" fillId="7" borderId="0" xfId="0" applyNumberFormat="1" applyFont="1" applyFill="1" applyAlignment="1">
      <alignment horizontal="center" vertical="center"/>
    </xf>
    <xf numFmtId="0" fontId="63" fillId="0" borderId="0" xfId="9" applyFont="1"/>
    <xf numFmtId="0" fontId="64" fillId="0" borderId="0" xfId="8" applyFont="1" applyAlignment="1">
      <alignment wrapText="1"/>
    </xf>
    <xf numFmtId="0" fontId="63" fillId="0" borderId="0" xfId="9" applyFont="1" applyAlignment="1">
      <alignment horizontal="center"/>
    </xf>
    <xf numFmtId="0" fontId="63" fillId="0" borderId="0" xfId="10" applyFont="1" applyAlignment="1">
      <alignment horizontal="center"/>
    </xf>
    <xf numFmtId="167" fontId="63" fillId="0" borderId="0" xfId="10" applyNumberFormat="1" applyFont="1" applyAlignment="1">
      <alignment horizontal="center"/>
    </xf>
    <xf numFmtId="2" fontId="63" fillId="0" borderId="0" xfId="10" applyNumberFormat="1" applyFont="1" applyAlignment="1">
      <alignment horizontal="center"/>
    </xf>
    <xf numFmtId="49" fontId="63" fillId="0" borderId="0" xfId="10" applyNumberFormat="1" applyFont="1" applyAlignment="1">
      <alignment horizontal="center"/>
    </xf>
    <xf numFmtId="0" fontId="12" fillId="7" borderId="40" xfId="1" applyFill="1" applyBorder="1" applyAlignment="1">
      <alignment horizontal="center" vertical="center"/>
    </xf>
    <xf numFmtId="0" fontId="12" fillId="7" borderId="14" xfId="1" applyFill="1" applyBorder="1" applyAlignment="1">
      <alignment horizontal="center" vertical="center"/>
    </xf>
    <xf numFmtId="0" fontId="16" fillId="16" borderId="1" xfId="0" applyFont="1" applyFill="1" applyBorder="1" applyAlignment="1">
      <alignment horizontal="center" vertical="center"/>
    </xf>
    <xf numFmtId="0" fontId="12" fillId="13" borderId="1" xfId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1" fontId="16" fillId="14" borderId="1" xfId="0" applyNumberFormat="1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/>
    </xf>
    <xf numFmtId="174" fontId="12" fillId="12" borderId="1" xfId="0" applyNumberFormat="1" applyFont="1" applyFill="1" applyBorder="1" applyAlignment="1" applyProtection="1">
      <alignment horizontal="center" vertical="center"/>
      <protection locked="0"/>
    </xf>
    <xf numFmtId="168" fontId="12" fillId="13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40" xfId="0" applyFont="1" applyFill="1" applyBorder="1" applyAlignment="1">
      <alignment vertical="center"/>
    </xf>
    <xf numFmtId="0" fontId="12" fillId="4" borderId="44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4" borderId="55" xfId="0" applyFont="1" applyFill="1" applyBorder="1" applyAlignment="1">
      <alignment vertical="center"/>
    </xf>
    <xf numFmtId="176" fontId="12" fillId="12" borderId="40" xfId="0" applyNumberFormat="1" applyFont="1" applyFill="1" applyBorder="1" applyAlignment="1" applyProtection="1">
      <alignment horizontal="left" vertical="center"/>
      <protection locked="0"/>
    </xf>
    <xf numFmtId="176" fontId="12" fillId="12" borderId="44" xfId="0" applyNumberFormat="1" applyFont="1" applyFill="1" applyBorder="1" applyAlignment="1" applyProtection="1">
      <alignment horizontal="left" vertical="center"/>
      <protection locked="0"/>
    </xf>
    <xf numFmtId="176" fontId="12" fillId="12" borderId="14" xfId="0" applyNumberFormat="1" applyFont="1" applyFill="1" applyBorder="1" applyAlignment="1" applyProtection="1">
      <alignment horizontal="left" vertical="center"/>
      <protection locked="0"/>
    </xf>
    <xf numFmtId="176" fontId="12" fillId="12" borderId="1" xfId="0" applyNumberFormat="1" applyFont="1" applyFill="1" applyBorder="1" applyAlignment="1" applyProtection="1">
      <alignment horizontal="left" vertical="center"/>
      <protection locked="0"/>
    </xf>
    <xf numFmtId="0" fontId="12" fillId="4" borderId="14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left" vertical="center"/>
    </xf>
    <xf numFmtId="0" fontId="12" fillId="12" borderId="40" xfId="0" applyFont="1" applyFill="1" applyBorder="1" applyAlignment="1" applyProtection="1">
      <alignment horizontal="left" vertical="center"/>
      <protection locked="0"/>
    </xf>
    <xf numFmtId="0" fontId="12" fillId="12" borderId="44" xfId="0" applyFont="1" applyFill="1" applyBorder="1" applyAlignment="1" applyProtection="1">
      <alignment horizontal="left" vertical="center"/>
      <protection locked="0"/>
    </xf>
    <xf numFmtId="0" fontId="12" fillId="12" borderId="14" xfId="0" applyFont="1" applyFill="1" applyBorder="1" applyAlignment="1" applyProtection="1">
      <alignment horizontal="left" vertical="center"/>
      <protection locked="0"/>
    </xf>
    <xf numFmtId="0" fontId="12" fillId="11" borderId="1" xfId="0" applyFont="1" applyFill="1" applyBorder="1" applyAlignment="1">
      <alignment horizontal="center" vertical="center"/>
    </xf>
    <xf numFmtId="0" fontId="19" fillId="11" borderId="5" xfId="0" applyFont="1" applyFill="1" applyBorder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11" borderId="6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/>
    </xf>
    <xf numFmtId="0" fontId="19" fillId="11" borderId="4" xfId="0" applyFont="1" applyFill="1" applyBorder="1" applyAlignment="1">
      <alignment horizontal="center" vertical="center"/>
    </xf>
    <xf numFmtId="0" fontId="19" fillId="11" borderId="55" xfId="0" applyFont="1" applyFill="1" applyBorder="1" applyAlignment="1">
      <alignment horizontal="center" vertical="center"/>
    </xf>
    <xf numFmtId="0" fontId="12" fillId="0" borderId="40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12" borderId="1" xfId="0" applyFont="1" applyFill="1" applyBorder="1" applyAlignment="1" applyProtection="1">
      <alignment horizontal="left" vertical="center" shrinkToFit="1"/>
      <protection locked="0"/>
    </xf>
    <xf numFmtId="0" fontId="12" fillId="4" borderId="7" xfId="0" applyFont="1" applyFill="1" applyBorder="1" applyAlignment="1">
      <alignment vertical="center"/>
    </xf>
    <xf numFmtId="169" fontId="12" fillId="12" borderId="40" xfId="0" applyNumberFormat="1" applyFont="1" applyFill="1" applyBorder="1" applyAlignment="1" applyProtection="1">
      <alignment horizontal="left" vertical="center"/>
      <protection locked="0"/>
    </xf>
    <xf numFmtId="169" fontId="12" fillId="12" borderId="44" xfId="0" applyNumberFormat="1" applyFont="1" applyFill="1" applyBorder="1" applyAlignment="1" applyProtection="1">
      <alignment horizontal="left" vertical="center"/>
      <protection locked="0"/>
    </xf>
    <xf numFmtId="169" fontId="12" fillId="12" borderId="14" xfId="0" applyNumberFormat="1" applyFont="1" applyFill="1" applyBorder="1" applyAlignment="1" applyProtection="1">
      <alignment horizontal="left" vertical="center"/>
      <protection locked="0"/>
    </xf>
    <xf numFmtId="0" fontId="34" fillId="4" borderId="0" xfId="0" applyFont="1" applyFill="1" applyAlignment="1">
      <alignment horizontal="center"/>
    </xf>
    <xf numFmtId="0" fontId="19" fillId="11" borderId="41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19" fillId="11" borderId="54" xfId="0" applyFont="1" applyFill="1" applyBorder="1" applyAlignment="1">
      <alignment horizontal="center" vertical="center"/>
    </xf>
    <xf numFmtId="0" fontId="12" fillId="13" borderId="41" xfId="0" applyFont="1" applyFill="1" applyBorder="1" applyAlignment="1" applyProtection="1">
      <alignment horizontal="left" vertical="center"/>
      <protection locked="0"/>
    </xf>
    <xf numFmtId="0" fontId="12" fillId="13" borderId="13" xfId="0" applyFont="1" applyFill="1" applyBorder="1" applyAlignment="1" applyProtection="1">
      <alignment horizontal="left" vertical="center"/>
      <protection locked="0"/>
    </xf>
    <xf numFmtId="0" fontId="12" fillId="13" borderId="54" xfId="0" applyFont="1" applyFill="1" applyBorder="1" applyAlignment="1" applyProtection="1">
      <alignment horizontal="left" vertical="center"/>
      <protection locked="0"/>
    </xf>
    <xf numFmtId="0" fontId="12" fillId="13" borderId="40" xfId="0" applyFont="1" applyFill="1" applyBorder="1" applyAlignment="1" applyProtection="1">
      <alignment horizontal="left" vertical="center" shrinkToFit="1"/>
      <protection locked="0"/>
    </xf>
    <xf numFmtId="0" fontId="12" fillId="13" borderId="44" xfId="0" applyFont="1" applyFill="1" applyBorder="1" applyAlignment="1" applyProtection="1">
      <alignment horizontal="left" vertical="center" shrinkToFit="1"/>
      <protection locked="0"/>
    </xf>
    <xf numFmtId="0" fontId="12" fillId="13" borderId="14" xfId="0" applyFont="1" applyFill="1" applyBorder="1" applyAlignment="1" applyProtection="1">
      <alignment horizontal="left" vertical="center" shrinkToFit="1"/>
      <protection locked="0"/>
    </xf>
    <xf numFmtId="0" fontId="12" fillId="7" borderId="1" xfId="0" applyFont="1" applyFill="1" applyBorder="1" applyAlignment="1">
      <alignment horizontal="left" vertical="center"/>
    </xf>
    <xf numFmtId="171" fontId="12" fillId="13" borderId="7" xfId="0" applyNumberFormat="1" applyFont="1" applyFill="1" applyBorder="1" applyAlignment="1" applyProtection="1">
      <alignment horizontal="left" vertical="center"/>
      <protection locked="0"/>
    </xf>
    <xf numFmtId="171" fontId="12" fillId="13" borderId="4" xfId="0" applyNumberFormat="1" applyFont="1" applyFill="1" applyBorder="1" applyAlignment="1" applyProtection="1">
      <alignment horizontal="left" vertical="center"/>
      <protection locked="0"/>
    </xf>
    <xf numFmtId="171" fontId="12" fillId="13" borderId="55" xfId="0" applyNumberFormat="1" applyFont="1" applyFill="1" applyBorder="1" applyAlignment="1" applyProtection="1">
      <alignment horizontal="left" vertical="center"/>
      <protection locked="0"/>
    </xf>
    <xf numFmtId="1" fontId="12" fillId="13" borderId="40" xfId="0" applyNumberFormat="1" applyFont="1" applyFill="1" applyBorder="1" applyAlignment="1" applyProtection="1">
      <alignment horizontal="left" vertical="center" shrinkToFit="1"/>
      <protection locked="0"/>
    </xf>
    <xf numFmtId="1" fontId="12" fillId="13" borderId="44" xfId="0" applyNumberFormat="1" applyFont="1" applyFill="1" applyBorder="1" applyAlignment="1" applyProtection="1">
      <alignment horizontal="left" vertical="center" shrinkToFit="1"/>
      <protection locked="0"/>
    </xf>
    <xf numFmtId="1" fontId="12" fillId="13" borderId="14" xfId="0" applyNumberFormat="1" applyFont="1" applyFill="1" applyBorder="1" applyAlignment="1" applyProtection="1">
      <alignment horizontal="left" vertical="center" shrinkToFit="1"/>
      <protection locked="0"/>
    </xf>
    <xf numFmtId="0" fontId="12" fillId="15" borderId="40" xfId="0" applyFont="1" applyFill="1" applyBorder="1" applyAlignment="1">
      <alignment horizontal="left" vertical="center"/>
    </xf>
    <xf numFmtId="0" fontId="12" fillId="15" borderId="44" xfId="0" applyFont="1" applyFill="1" applyBorder="1" applyAlignment="1">
      <alignment horizontal="left" vertical="center"/>
    </xf>
    <xf numFmtId="0" fontId="12" fillId="15" borderId="14" xfId="0" applyFont="1" applyFill="1" applyBorder="1" applyAlignment="1">
      <alignment horizontal="left" vertical="center"/>
    </xf>
    <xf numFmtId="0" fontId="12" fillId="15" borderId="1" xfId="0" applyFont="1" applyFill="1" applyBorder="1" applyAlignment="1">
      <alignment horizontal="left" vertical="center"/>
    </xf>
    <xf numFmtId="171" fontId="12" fillId="13" borderId="40" xfId="0" applyNumberFormat="1" applyFont="1" applyFill="1" applyBorder="1" applyAlignment="1" applyProtection="1">
      <alignment horizontal="left" vertical="center"/>
      <protection locked="0"/>
    </xf>
    <xf numFmtId="171" fontId="12" fillId="13" borderId="44" xfId="0" applyNumberFormat="1" applyFont="1" applyFill="1" applyBorder="1" applyAlignment="1" applyProtection="1">
      <alignment horizontal="left" vertical="center"/>
      <protection locked="0"/>
    </xf>
    <xf numFmtId="171" fontId="12" fillId="13" borderId="14" xfId="0" applyNumberFormat="1" applyFont="1" applyFill="1" applyBorder="1" applyAlignment="1" applyProtection="1">
      <alignment horizontal="left" vertical="center"/>
      <protection locked="0"/>
    </xf>
    <xf numFmtId="0" fontId="12" fillId="4" borderId="40" xfId="0" applyFont="1" applyFill="1" applyBorder="1" applyAlignment="1">
      <alignment horizontal="left" vertical="center"/>
    </xf>
    <xf numFmtId="0" fontId="12" fillId="4" borderId="44" xfId="0" applyFont="1" applyFill="1" applyBorder="1" applyAlignment="1">
      <alignment horizontal="left" vertical="center"/>
    </xf>
    <xf numFmtId="0" fontId="12" fillId="4" borderId="14" xfId="0" applyFont="1" applyFill="1" applyBorder="1" applyAlignment="1">
      <alignment horizontal="left" vertical="center"/>
    </xf>
    <xf numFmtId="0" fontId="12" fillId="12" borderId="7" xfId="0" applyFont="1" applyFill="1" applyBorder="1" applyAlignment="1" applyProtection="1">
      <alignment horizontal="left"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12" fillId="12" borderId="55" xfId="0" applyFont="1" applyFill="1" applyBorder="1" applyAlignment="1" applyProtection="1">
      <alignment horizontal="left" vertical="center"/>
      <protection locked="0"/>
    </xf>
    <xf numFmtId="3" fontId="12" fillId="12" borderId="1" xfId="0" applyNumberFormat="1" applyFont="1" applyFill="1" applyBorder="1" applyAlignment="1" applyProtection="1">
      <alignment horizontal="center" vertical="center"/>
      <protection locked="0"/>
    </xf>
    <xf numFmtId="164" fontId="12" fillId="12" borderId="1" xfId="0" applyNumberFormat="1" applyFont="1" applyFill="1" applyBorder="1" applyAlignment="1" applyProtection="1">
      <alignment horizontal="center" vertical="center"/>
      <protection locked="0"/>
    </xf>
    <xf numFmtId="164" fontId="12" fillId="13" borderId="40" xfId="0" applyNumberFormat="1" applyFont="1" applyFill="1" applyBorder="1" applyAlignment="1" applyProtection="1">
      <alignment horizontal="center" vertical="center"/>
      <protection locked="0"/>
    </xf>
    <xf numFmtId="164" fontId="12" fillId="13" borderId="44" xfId="0" applyNumberFormat="1" applyFont="1" applyFill="1" applyBorder="1" applyAlignment="1" applyProtection="1">
      <alignment horizontal="center" vertical="center"/>
      <protection locked="0"/>
    </xf>
    <xf numFmtId="164" fontId="12" fillId="13" borderId="14" xfId="0" applyNumberFormat="1" applyFont="1" applyFill="1" applyBorder="1" applyAlignment="1" applyProtection="1">
      <alignment horizontal="center" vertical="center"/>
      <protection locked="0"/>
    </xf>
    <xf numFmtId="0" fontId="12" fillId="11" borderId="40" xfId="0" applyFont="1" applyFill="1" applyBorder="1" applyAlignment="1">
      <alignment horizontal="center" vertical="center"/>
    </xf>
    <xf numFmtId="0" fontId="12" fillId="11" borderId="44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1" fontId="12" fillId="14" borderId="40" xfId="0" applyNumberFormat="1" applyFont="1" applyFill="1" applyBorder="1" applyAlignment="1">
      <alignment horizontal="center" vertical="center" shrinkToFit="1"/>
    </xf>
    <xf numFmtId="1" fontId="12" fillId="14" borderId="44" xfId="0" applyNumberFormat="1" applyFont="1" applyFill="1" applyBorder="1" applyAlignment="1">
      <alignment horizontal="center" vertical="center" shrinkToFit="1"/>
    </xf>
    <xf numFmtId="1" fontId="12" fillId="14" borderId="14" xfId="0" applyNumberFormat="1" applyFont="1" applyFill="1" applyBorder="1" applyAlignment="1">
      <alignment horizontal="center" vertical="center" shrinkToFit="1"/>
    </xf>
    <xf numFmtId="1" fontId="12" fillId="14" borderId="7" xfId="0" applyNumberFormat="1" applyFont="1" applyFill="1" applyBorder="1" applyAlignment="1">
      <alignment horizontal="center" vertical="center"/>
    </xf>
    <xf numFmtId="1" fontId="12" fillId="14" borderId="4" xfId="0" applyNumberFormat="1" applyFont="1" applyFill="1" applyBorder="1" applyAlignment="1">
      <alignment horizontal="center" vertical="center"/>
    </xf>
    <xf numFmtId="1" fontId="12" fillId="14" borderId="55" xfId="0" applyNumberFormat="1" applyFont="1" applyFill="1" applyBorder="1" applyAlignment="1">
      <alignment horizontal="center" vertical="center"/>
    </xf>
    <xf numFmtId="164" fontId="12" fillId="11" borderId="1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2" fontId="12" fillId="7" borderId="1" xfId="0" applyNumberFormat="1" applyFont="1" applyFill="1" applyBorder="1" applyAlignment="1">
      <alignment horizontal="center" vertical="center"/>
    </xf>
    <xf numFmtId="167" fontId="12" fillId="7" borderId="1" xfId="0" applyNumberFormat="1" applyFont="1" applyFill="1" applyBorder="1" applyAlignment="1">
      <alignment horizontal="center" vertical="center"/>
    </xf>
    <xf numFmtId="1" fontId="42" fillId="14" borderId="1" xfId="0" applyNumberFormat="1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/>
    </xf>
    <xf numFmtId="0" fontId="12" fillId="15" borderId="40" xfId="0" applyFont="1" applyFill="1" applyBorder="1" applyAlignment="1">
      <alignment horizontal="center" vertical="center" shrinkToFit="1"/>
    </xf>
    <xf numFmtId="0" fontId="12" fillId="15" borderId="44" xfId="0" applyFont="1" applyFill="1" applyBorder="1" applyAlignment="1">
      <alignment horizontal="center" vertical="center" shrinkToFit="1"/>
    </xf>
    <xf numFmtId="0" fontId="12" fillId="15" borderId="14" xfId="0" applyFont="1" applyFill="1" applyBorder="1" applyAlignment="1">
      <alignment horizontal="center" vertical="center" shrinkToFit="1"/>
    </xf>
    <xf numFmtId="0" fontId="12" fillId="15" borderId="40" xfId="1" applyFill="1" applyBorder="1" applyAlignment="1">
      <alignment horizontal="center" vertical="center" shrinkToFit="1"/>
    </xf>
    <xf numFmtId="0" fontId="12" fillId="15" borderId="44" xfId="1" applyFill="1" applyBorder="1" applyAlignment="1">
      <alignment horizontal="center" vertical="center" shrinkToFit="1"/>
    </xf>
    <xf numFmtId="0" fontId="12" fillId="15" borderId="4" xfId="1" applyFill="1" applyBorder="1" applyAlignment="1">
      <alignment horizontal="center" vertical="center" shrinkToFit="1"/>
    </xf>
    <xf numFmtId="0" fontId="12" fillId="15" borderId="55" xfId="1" applyFill="1" applyBorder="1" applyAlignment="1">
      <alignment horizontal="center" vertical="center" shrinkToFit="1"/>
    </xf>
    <xf numFmtId="0" fontId="12" fillId="15" borderId="16" xfId="0" applyFont="1" applyFill="1" applyBorder="1" applyAlignment="1">
      <alignment horizontal="center" vertical="center"/>
    </xf>
    <xf numFmtId="1" fontId="42" fillId="14" borderId="16" xfId="0" applyNumberFormat="1" applyFont="1" applyFill="1" applyBorder="1" applyAlignment="1">
      <alignment horizontal="center" vertical="center"/>
    </xf>
    <xf numFmtId="2" fontId="12" fillId="12" borderId="1" xfId="0" applyNumberFormat="1" applyFont="1" applyFill="1" applyBorder="1" applyAlignment="1" applyProtection="1">
      <alignment horizontal="center" vertical="center"/>
      <protection locked="0"/>
    </xf>
    <xf numFmtId="2" fontId="12" fillId="15" borderId="1" xfId="0" applyNumberFormat="1" applyFont="1" applyFill="1" applyBorder="1" applyAlignment="1">
      <alignment horizontal="center" vertical="center"/>
    </xf>
    <xf numFmtId="0" fontId="36" fillId="4" borderId="0" xfId="0" applyFont="1" applyFill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37" fillId="11" borderId="1" xfId="0" applyFont="1" applyFill="1" applyBorder="1" applyAlignment="1">
      <alignment horizontal="center" vertical="center"/>
    </xf>
    <xf numFmtId="1" fontId="19" fillId="14" borderId="1" xfId="0" applyNumberFormat="1" applyFont="1" applyFill="1" applyBorder="1" applyAlignment="1">
      <alignment horizontal="center" vertical="center"/>
    </xf>
    <xf numFmtId="167" fontId="12" fillId="12" borderId="16" xfId="0" applyNumberFormat="1" applyFont="1" applyFill="1" applyBorder="1" applyAlignment="1" applyProtection="1">
      <alignment horizontal="center" vertical="center"/>
      <protection locked="0"/>
    </xf>
    <xf numFmtId="164" fontId="12" fillId="7" borderId="1" xfId="0" applyNumberFormat="1" applyFont="1" applyFill="1" applyBorder="1" applyAlignment="1">
      <alignment horizontal="center" vertical="center"/>
    </xf>
    <xf numFmtId="164" fontId="12" fillId="7" borderId="40" xfId="0" applyNumberFormat="1" applyFont="1" applyFill="1" applyBorder="1" applyAlignment="1">
      <alignment horizontal="center" vertical="center"/>
    </xf>
    <xf numFmtId="164" fontId="12" fillId="7" borderId="44" xfId="0" applyNumberFormat="1" applyFont="1" applyFill="1" applyBorder="1" applyAlignment="1">
      <alignment horizontal="center" vertical="center"/>
    </xf>
    <xf numFmtId="164" fontId="12" fillId="7" borderId="14" xfId="0" applyNumberFormat="1" applyFont="1" applyFill="1" applyBorder="1" applyAlignment="1">
      <alignment horizontal="center" vertical="center"/>
    </xf>
    <xf numFmtId="0" fontId="12" fillId="11" borderId="40" xfId="0" applyFont="1" applyFill="1" applyBorder="1" applyAlignment="1">
      <alignment horizontal="center" vertical="center" wrapText="1"/>
    </xf>
    <xf numFmtId="0" fontId="12" fillId="11" borderId="44" xfId="0" applyFont="1" applyFill="1" applyBorder="1" applyAlignment="1">
      <alignment horizontal="center" vertical="center" wrapText="1"/>
    </xf>
    <xf numFmtId="0" fontId="12" fillId="13" borderId="1" xfId="1" applyFill="1" applyBorder="1" applyAlignment="1" applyProtection="1">
      <alignment horizontal="center" vertical="center" shrinkToFit="1"/>
      <protection locked="0"/>
    </xf>
    <xf numFmtId="164" fontId="19" fillId="15" borderId="40" xfId="0" applyNumberFormat="1" applyFont="1" applyFill="1" applyBorder="1" applyAlignment="1">
      <alignment horizontal="center" vertical="center"/>
    </xf>
    <xf numFmtId="164" fontId="19" fillId="15" borderId="44" xfId="0" applyNumberFormat="1" applyFont="1" applyFill="1" applyBorder="1" applyAlignment="1">
      <alignment horizontal="center" vertical="center"/>
    </xf>
    <xf numFmtId="164" fontId="19" fillId="15" borderId="14" xfId="0" applyNumberFormat="1" applyFont="1" applyFill="1" applyBorder="1" applyAlignment="1">
      <alignment horizontal="center" vertical="center"/>
    </xf>
    <xf numFmtId="174" fontId="12" fillId="13" borderId="40" xfId="0" applyNumberFormat="1" applyFont="1" applyFill="1" applyBorder="1" applyAlignment="1" applyProtection="1">
      <alignment horizontal="center" vertical="center"/>
      <protection locked="0"/>
    </xf>
    <xf numFmtId="174" fontId="12" fillId="13" borderId="44" xfId="0" applyNumberFormat="1" applyFont="1" applyFill="1" applyBorder="1" applyAlignment="1" applyProtection="1">
      <alignment horizontal="center" vertical="center"/>
      <protection locked="0"/>
    </xf>
    <xf numFmtId="174" fontId="12" fillId="13" borderId="14" xfId="0" applyNumberFormat="1" applyFont="1" applyFill="1" applyBorder="1" applyAlignment="1" applyProtection="1">
      <alignment horizontal="center" vertical="center"/>
      <protection locked="0"/>
    </xf>
    <xf numFmtId="164" fontId="12" fillId="15" borderId="40" xfId="0" applyNumberFormat="1" applyFont="1" applyFill="1" applyBorder="1" applyAlignment="1">
      <alignment horizontal="center" vertical="center"/>
    </xf>
    <xf numFmtId="164" fontId="12" fillId="15" borderId="44" xfId="0" applyNumberFormat="1" applyFont="1" applyFill="1" applyBorder="1" applyAlignment="1">
      <alignment horizontal="center" vertical="center"/>
    </xf>
    <xf numFmtId="164" fontId="12" fillId="15" borderId="14" xfId="0" applyNumberFormat="1" applyFont="1" applyFill="1" applyBorder="1" applyAlignment="1">
      <alignment horizontal="center" vertical="center"/>
    </xf>
    <xf numFmtId="1" fontId="12" fillId="7" borderId="40" xfId="0" applyNumberFormat="1" applyFont="1" applyFill="1" applyBorder="1" applyAlignment="1">
      <alignment horizontal="center" vertical="center"/>
    </xf>
    <xf numFmtId="1" fontId="12" fillId="7" borderId="44" xfId="0" applyNumberFormat="1" applyFont="1" applyFill="1" applyBorder="1" applyAlignment="1">
      <alignment horizontal="center" vertical="center"/>
    </xf>
    <xf numFmtId="1" fontId="12" fillId="7" borderId="14" xfId="0" applyNumberFormat="1" applyFont="1" applyFill="1" applyBorder="1" applyAlignment="1">
      <alignment horizontal="center" vertical="center"/>
    </xf>
    <xf numFmtId="164" fontId="19" fillId="12" borderId="1" xfId="1" applyNumberFormat="1" applyFont="1" applyFill="1" applyBorder="1" applyAlignment="1" applyProtection="1">
      <alignment horizontal="center" vertical="center"/>
      <protection locked="0"/>
    </xf>
    <xf numFmtId="0" fontId="49" fillId="12" borderId="1" xfId="0" applyFont="1" applyFill="1" applyBorder="1" applyAlignment="1" applyProtection="1">
      <alignment horizontal="center" vertical="center" shrinkToFit="1"/>
      <protection locked="0"/>
    </xf>
    <xf numFmtId="0" fontId="34" fillId="4" borderId="0" xfId="0" applyFont="1" applyFill="1" applyAlignment="1">
      <alignment horizontal="center" vertical="center"/>
    </xf>
    <xf numFmtId="0" fontId="37" fillId="11" borderId="16" xfId="0" applyFont="1" applyFill="1" applyBorder="1" applyAlignment="1">
      <alignment horizontal="center" vertical="center"/>
    </xf>
    <xf numFmtId="1" fontId="12" fillId="14" borderId="1" xfId="0" applyNumberFormat="1" applyFont="1" applyFill="1" applyBorder="1" applyAlignment="1">
      <alignment horizontal="center" vertical="center" shrinkToFit="1"/>
    </xf>
    <xf numFmtId="0" fontId="31" fillId="4" borderId="0" xfId="0" applyFont="1" applyFill="1" applyAlignment="1">
      <alignment horizontal="center" vertical="center"/>
    </xf>
    <xf numFmtId="0" fontId="12" fillId="11" borderId="41" xfId="0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horizontal="center" vertical="center" wrapText="1"/>
    </xf>
    <xf numFmtId="0" fontId="12" fillId="11" borderId="54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wrapText="1"/>
    </xf>
    <xf numFmtId="0" fontId="12" fillId="11" borderId="0" xfId="0" applyFont="1" applyFill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12" fillId="11" borderId="7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12" fillId="11" borderId="55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 applyProtection="1">
      <alignment horizontal="center" vertical="center"/>
      <protection locked="0"/>
    </xf>
    <xf numFmtId="0" fontId="12" fillId="13" borderId="1" xfId="1" applyFill="1" applyBorder="1" applyAlignment="1" applyProtection="1">
      <alignment horizontal="center" vertical="center"/>
      <protection locked="0"/>
    </xf>
    <xf numFmtId="170" fontId="12" fillId="12" borderId="1" xfId="0" applyNumberFormat="1" applyFont="1" applyFill="1" applyBorder="1" applyAlignment="1" applyProtection="1">
      <alignment horizontal="center" vertical="center"/>
      <protection locked="0"/>
    </xf>
    <xf numFmtId="1" fontId="12" fillId="12" borderId="1" xfId="1" applyNumberFormat="1" applyFill="1" applyBorder="1" applyAlignment="1" applyProtection="1">
      <alignment horizontal="center" vertical="center"/>
      <protection locked="0"/>
    </xf>
    <xf numFmtId="1" fontId="19" fillId="14" borderId="16" xfId="0" applyNumberFormat="1" applyFont="1" applyFill="1" applyBorder="1" applyAlignment="1">
      <alignment horizontal="center" vertical="center"/>
    </xf>
    <xf numFmtId="164" fontId="12" fillId="4" borderId="0" xfId="0" applyNumberFormat="1" applyFont="1" applyFill="1" applyAlignment="1">
      <alignment horizontal="center" vertical="center"/>
    </xf>
    <xf numFmtId="0" fontId="12" fillId="13" borderId="40" xfId="0" applyFont="1" applyFill="1" applyBorder="1" applyAlignment="1" applyProtection="1">
      <alignment horizontal="center" vertical="center"/>
      <protection locked="0"/>
    </xf>
    <xf numFmtId="0" fontId="12" fillId="13" borderId="44" xfId="0" applyFont="1" applyFill="1" applyBorder="1" applyAlignment="1" applyProtection="1">
      <alignment horizontal="center" vertical="center"/>
      <protection locked="0"/>
    </xf>
    <xf numFmtId="0" fontId="12" fillId="13" borderId="14" xfId="0" applyFont="1" applyFill="1" applyBorder="1" applyAlignment="1" applyProtection="1">
      <alignment horizontal="center" vertical="center"/>
      <protection locked="0"/>
    </xf>
    <xf numFmtId="1" fontId="45" fillId="14" borderId="1" xfId="0" applyNumberFormat="1" applyFont="1" applyFill="1" applyBorder="1" applyAlignment="1">
      <alignment horizontal="center" vertical="center"/>
    </xf>
    <xf numFmtId="164" fontId="45" fillId="14" borderId="1" xfId="0" applyNumberFormat="1" applyFont="1" applyFill="1" applyBorder="1" applyAlignment="1">
      <alignment horizontal="center" vertical="center"/>
    </xf>
    <xf numFmtId="0" fontId="12" fillId="15" borderId="14" xfId="0" applyFont="1" applyFill="1" applyBorder="1" applyAlignment="1">
      <alignment horizontal="center" vertical="center"/>
    </xf>
    <xf numFmtId="0" fontId="12" fillId="13" borderId="1" xfId="0" applyFont="1" applyFill="1" applyBorder="1" applyAlignment="1" applyProtection="1">
      <alignment horizontal="center" vertical="center" shrinkToFit="1"/>
      <protection locked="0"/>
    </xf>
    <xf numFmtId="167" fontId="12" fillId="15" borderId="40" xfId="0" applyNumberFormat="1" applyFont="1" applyFill="1" applyBorder="1" applyAlignment="1">
      <alignment horizontal="center" vertical="center" shrinkToFit="1"/>
    </xf>
    <xf numFmtId="167" fontId="12" fillId="15" borderId="44" xfId="0" applyNumberFormat="1" applyFont="1" applyFill="1" applyBorder="1" applyAlignment="1">
      <alignment horizontal="center" vertical="center" shrinkToFit="1"/>
    </xf>
    <xf numFmtId="167" fontId="12" fillId="15" borderId="45" xfId="0" applyNumberFormat="1" applyFont="1" applyFill="1" applyBorder="1" applyAlignment="1">
      <alignment horizontal="center" vertical="center" shrinkToFit="1"/>
    </xf>
    <xf numFmtId="0" fontId="12" fillId="4" borderId="41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80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167" fontId="12" fillId="15" borderId="67" xfId="1" applyNumberFormat="1" applyFill="1" applyBorder="1" applyAlignment="1">
      <alignment horizontal="center" vertical="center" shrinkToFit="1"/>
    </xf>
    <xf numFmtId="167" fontId="12" fillId="15" borderId="71" xfId="1" applyNumberFormat="1" applyFill="1" applyBorder="1" applyAlignment="1">
      <alignment horizontal="center" vertical="center" shrinkToFit="1"/>
    </xf>
    <xf numFmtId="167" fontId="12" fillId="15" borderId="83" xfId="1" applyNumberFormat="1" applyFill="1" applyBorder="1" applyAlignment="1">
      <alignment horizontal="center" vertical="center" shrinkToFit="1"/>
    </xf>
    <xf numFmtId="167" fontId="12" fillId="15" borderId="46" xfId="0" applyNumberFormat="1" applyFont="1" applyFill="1" applyBorder="1" applyAlignment="1">
      <alignment horizontal="center" vertical="center" shrinkToFit="1"/>
    </xf>
    <xf numFmtId="167" fontId="12" fillId="15" borderId="43" xfId="0" applyNumberFormat="1" applyFont="1" applyFill="1" applyBorder="1" applyAlignment="1">
      <alignment horizontal="center" vertical="center" shrinkToFit="1"/>
    </xf>
    <xf numFmtId="167" fontId="12" fillId="15" borderId="47" xfId="0" applyNumberFormat="1" applyFont="1" applyFill="1" applyBorder="1" applyAlignment="1">
      <alignment horizontal="center" vertical="center" shrinkToFit="1"/>
    </xf>
    <xf numFmtId="0" fontId="12" fillId="4" borderId="54" xfId="0" applyFont="1" applyFill="1" applyBorder="1" applyAlignment="1">
      <alignment horizontal="center" vertical="center" wrapText="1"/>
    </xf>
    <xf numFmtId="0" fontId="12" fillId="4" borderId="70" xfId="0" applyFont="1" applyFill="1" applyBorder="1" applyAlignment="1">
      <alignment horizontal="center" vertical="center" wrapText="1"/>
    </xf>
    <xf numFmtId="167" fontId="12" fillId="12" borderId="67" xfId="1" applyNumberFormat="1" applyFill="1" applyBorder="1" applyAlignment="1" applyProtection="1">
      <alignment horizontal="center" vertical="center" shrinkToFit="1"/>
      <protection locked="0"/>
    </xf>
    <xf numFmtId="167" fontId="12" fillId="12" borderId="71" xfId="1" applyNumberFormat="1" applyFill="1" applyBorder="1" applyAlignment="1" applyProtection="1">
      <alignment horizontal="center" vertical="center" shrinkToFit="1"/>
      <protection locked="0"/>
    </xf>
    <xf numFmtId="167" fontId="12" fillId="12" borderId="68" xfId="1" applyNumberFormat="1" applyFill="1" applyBorder="1" applyAlignment="1" applyProtection="1">
      <alignment horizontal="center" vertical="center" shrinkToFit="1"/>
      <protection locked="0"/>
    </xf>
    <xf numFmtId="167" fontId="12" fillId="12" borderId="40" xfId="0" applyNumberFormat="1" applyFont="1" applyFill="1" applyBorder="1" applyAlignment="1" applyProtection="1">
      <alignment horizontal="center" vertical="center" shrinkToFit="1"/>
      <protection locked="0"/>
    </xf>
    <xf numFmtId="167" fontId="12" fillId="12" borderId="44" xfId="0" applyNumberFormat="1" applyFont="1" applyFill="1" applyBorder="1" applyAlignment="1" applyProtection="1">
      <alignment horizontal="center" vertical="center" shrinkToFit="1"/>
      <protection locked="0"/>
    </xf>
    <xf numFmtId="167" fontId="12" fillId="12" borderId="14" xfId="0" applyNumberFormat="1" applyFont="1" applyFill="1" applyBorder="1" applyAlignment="1" applyProtection="1">
      <alignment horizontal="center" vertical="center" shrinkToFit="1"/>
      <protection locked="0"/>
    </xf>
    <xf numFmtId="167" fontId="12" fillId="12" borderId="46" xfId="0" applyNumberFormat="1" applyFont="1" applyFill="1" applyBorder="1" applyAlignment="1" applyProtection="1">
      <alignment horizontal="center" vertical="center" shrinkToFit="1"/>
      <protection locked="0"/>
    </xf>
    <xf numFmtId="167" fontId="12" fillId="12" borderId="43" xfId="0" applyNumberFormat="1" applyFont="1" applyFill="1" applyBorder="1" applyAlignment="1" applyProtection="1">
      <alignment horizontal="center" vertical="center" shrinkToFit="1"/>
      <protection locked="0"/>
    </xf>
    <xf numFmtId="167" fontId="12" fillId="12" borderId="66" xfId="0" applyNumberFormat="1" applyFont="1" applyFill="1" applyBorder="1" applyAlignment="1" applyProtection="1">
      <alignment horizontal="center" vertical="center" shrinkToFit="1"/>
      <protection locked="0"/>
    </xf>
    <xf numFmtId="0" fontId="19" fillId="11" borderId="56" xfId="0" applyFont="1" applyFill="1" applyBorder="1" applyAlignment="1">
      <alignment horizontal="center" vertical="center"/>
    </xf>
    <xf numFmtId="0" fontId="19" fillId="11" borderId="57" xfId="0" applyFont="1" applyFill="1" applyBorder="1" applyAlignment="1">
      <alignment horizontal="center" vertical="center"/>
    </xf>
    <xf numFmtId="0" fontId="19" fillId="11" borderId="58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81" xfId="0" applyFont="1" applyFill="1" applyBorder="1" applyAlignment="1">
      <alignment horizontal="center" vertical="center"/>
    </xf>
    <xf numFmtId="0" fontId="12" fillId="4" borderId="53" xfId="0" applyFont="1" applyFill="1" applyBorder="1" applyAlignment="1">
      <alignment horizontal="center" vertical="center"/>
    </xf>
    <xf numFmtId="0" fontId="12" fillId="4" borderId="82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center" vertical="center"/>
    </xf>
    <xf numFmtId="49" fontId="12" fillId="13" borderId="20" xfId="0" applyNumberFormat="1" applyFont="1" applyFill="1" applyBorder="1" applyAlignment="1" applyProtection="1">
      <alignment horizontal="center" vertical="center" shrinkToFit="1"/>
      <protection locked="0"/>
    </xf>
    <xf numFmtId="164" fontId="12" fillId="14" borderId="24" xfId="0" applyNumberFormat="1" applyFont="1" applyFill="1" applyBorder="1" applyAlignment="1">
      <alignment horizontal="center" vertical="center"/>
    </xf>
    <xf numFmtId="164" fontId="12" fillId="14" borderId="20" xfId="0" applyNumberFormat="1" applyFont="1" applyFill="1" applyBorder="1" applyAlignment="1">
      <alignment horizontal="center" vertical="center"/>
    </xf>
    <xf numFmtId="0" fontId="12" fillId="15" borderId="20" xfId="0" applyFont="1" applyFill="1" applyBorder="1" applyAlignment="1">
      <alignment horizontal="center" vertical="center" shrinkToFit="1"/>
    </xf>
    <xf numFmtId="0" fontId="12" fillId="13" borderId="40" xfId="1" applyFill="1" applyBorder="1" applyAlignment="1" applyProtection="1">
      <alignment horizontal="center" vertical="center" shrinkToFit="1"/>
      <protection locked="0"/>
    </xf>
    <xf numFmtId="0" fontId="12" fillId="13" borderId="44" xfId="1" applyFill="1" applyBorder="1" applyAlignment="1" applyProtection="1">
      <alignment horizontal="center" vertical="center" shrinkToFit="1"/>
      <protection locked="0"/>
    </xf>
    <xf numFmtId="0" fontId="12" fillId="13" borderId="14" xfId="1" applyFill="1" applyBorder="1" applyAlignment="1" applyProtection="1">
      <alignment horizontal="center" vertical="center" shrinkToFit="1"/>
      <protection locked="0"/>
    </xf>
    <xf numFmtId="0" fontId="12" fillId="13" borderId="46" xfId="0" applyFont="1" applyFill="1" applyBorder="1" applyAlignment="1" applyProtection="1">
      <alignment horizontal="center" vertical="center" shrinkToFit="1"/>
      <protection locked="0"/>
    </xf>
    <xf numFmtId="0" fontId="12" fillId="13" borderId="43" xfId="0" applyFont="1" applyFill="1" applyBorder="1" applyAlignment="1" applyProtection="1">
      <alignment horizontal="center" vertical="center" shrinkToFit="1"/>
      <protection locked="0"/>
    </xf>
    <xf numFmtId="0" fontId="12" fillId="13" borderId="66" xfId="0" applyFont="1" applyFill="1" applyBorder="1" applyAlignment="1" applyProtection="1">
      <alignment horizontal="center" vertical="center" shrinkToFit="1"/>
      <protection locked="0"/>
    </xf>
    <xf numFmtId="0" fontId="12" fillId="15" borderId="46" xfId="0" applyFont="1" applyFill="1" applyBorder="1" applyAlignment="1">
      <alignment horizontal="center" vertical="center" shrinkToFit="1"/>
    </xf>
    <xf numFmtId="0" fontId="12" fillId="15" borderId="43" xfId="0" applyFont="1" applyFill="1" applyBorder="1" applyAlignment="1">
      <alignment horizontal="center" vertical="center" shrinkToFit="1"/>
    </xf>
    <xf numFmtId="0" fontId="12" fillId="15" borderId="67" xfId="1" applyFill="1" applyBorder="1" applyAlignment="1">
      <alignment horizontal="center" vertical="center" shrinkToFit="1"/>
    </xf>
    <xf numFmtId="0" fontId="12" fillId="15" borderId="71" xfId="1" applyFill="1" applyBorder="1" applyAlignment="1">
      <alignment horizontal="center" vertical="center" shrinkToFit="1"/>
    </xf>
    <xf numFmtId="0" fontId="12" fillId="15" borderId="1" xfId="0" applyFont="1" applyFill="1" applyBorder="1" applyAlignment="1">
      <alignment horizontal="center" vertical="center" shrinkToFit="1"/>
    </xf>
    <xf numFmtId="164" fontId="12" fillId="14" borderId="18" xfId="0" applyNumberFormat="1" applyFont="1" applyFill="1" applyBorder="1" applyAlignment="1">
      <alignment horizontal="center" vertical="center"/>
    </xf>
    <xf numFmtId="164" fontId="12" fillId="14" borderId="1" xfId="0" applyNumberFormat="1" applyFont="1" applyFill="1" applyBorder="1" applyAlignment="1">
      <alignment horizontal="center" vertical="center"/>
    </xf>
    <xf numFmtId="0" fontId="12" fillId="15" borderId="16" xfId="1" applyFill="1" applyBorder="1" applyAlignment="1">
      <alignment horizontal="center" vertical="center" shrinkToFit="1"/>
    </xf>
    <xf numFmtId="164" fontId="12" fillId="14" borderId="17" xfId="0" applyNumberFormat="1" applyFont="1" applyFill="1" applyBorder="1" applyAlignment="1">
      <alignment horizontal="center" vertical="center"/>
    </xf>
    <xf numFmtId="164" fontId="12" fillId="14" borderId="16" xfId="0" applyNumberFormat="1" applyFont="1" applyFill="1" applyBorder="1" applyAlignment="1">
      <alignment horizontal="center" vertical="center"/>
    </xf>
    <xf numFmtId="49" fontId="12" fillId="13" borderId="16" xfId="1" applyNumberFormat="1" applyFill="1" applyBorder="1" applyAlignment="1" applyProtection="1">
      <alignment horizontal="center" vertical="center" shrinkToFit="1"/>
      <protection locked="0"/>
    </xf>
    <xf numFmtId="49" fontId="12" fillId="13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13" borderId="67" xfId="1" applyFill="1" applyBorder="1" applyAlignment="1" applyProtection="1">
      <alignment horizontal="center" vertical="center" shrinkToFit="1"/>
      <protection locked="0"/>
    </xf>
    <xf numFmtId="0" fontId="12" fillId="13" borderId="71" xfId="1" applyFill="1" applyBorder="1" applyAlignment="1" applyProtection="1">
      <alignment horizontal="center" vertical="center" shrinkToFit="1"/>
      <protection locked="0"/>
    </xf>
    <xf numFmtId="0" fontId="12" fillId="13" borderId="68" xfId="1" applyFill="1" applyBorder="1" applyAlignment="1" applyProtection="1">
      <alignment horizontal="center" vertical="center" shrinkToFit="1"/>
      <protection locked="0"/>
    </xf>
    <xf numFmtId="0" fontId="12" fillId="15" borderId="68" xfId="1" applyFill="1" applyBorder="1" applyAlignment="1">
      <alignment horizontal="center" vertical="center" shrinkToFit="1"/>
    </xf>
    <xf numFmtId="0" fontId="12" fillId="15" borderId="84" xfId="0" applyFont="1" applyFill="1" applyBorder="1" applyAlignment="1">
      <alignment horizontal="center" vertical="center" shrinkToFit="1"/>
    </xf>
    <xf numFmtId="0" fontId="12" fillId="15" borderId="21" xfId="0" applyFont="1" applyFill="1" applyBorder="1" applyAlignment="1">
      <alignment horizontal="center" vertical="center" shrinkToFit="1"/>
    </xf>
    <xf numFmtId="0" fontId="12" fillId="15" borderId="85" xfId="0" applyFont="1" applyFill="1" applyBorder="1" applyAlignment="1">
      <alignment horizontal="center" vertical="center" shrinkToFit="1"/>
    </xf>
    <xf numFmtId="0" fontId="12" fillId="4" borderId="14" xfId="0" applyFont="1" applyFill="1" applyBorder="1" applyAlignment="1">
      <alignment horizontal="center" vertical="center"/>
    </xf>
    <xf numFmtId="49" fontId="12" fillId="13" borderId="67" xfId="1" applyNumberFormat="1" applyFill="1" applyBorder="1" applyAlignment="1" applyProtection="1">
      <alignment horizontal="center" vertical="center" shrinkToFit="1"/>
      <protection locked="0"/>
    </xf>
    <xf numFmtId="49" fontId="12" fillId="13" borderId="71" xfId="1" applyNumberFormat="1" applyFill="1" applyBorder="1" applyAlignment="1" applyProtection="1">
      <alignment horizontal="center" vertical="center" shrinkToFit="1"/>
      <protection locked="0"/>
    </xf>
    <xf numFmtId="49" fontId="12" fillId="13" borderId="68" xfId="1" applyNumberFormat="1" applyFill="1" applyBorder="1" applyAlignment="1" applyProtection="1">
      <alignment horizontal="center" vertical="center" shrinkToFit="1"/>
      <protection locked="0"/>
    </xf>
    <xf numFmtId="0" fontId="20" fillId="4" borderId="59" xfId="1" applyFont="1" applyFill="1" applyBorder="1" applyAlignment="1">
      <alignment horizontal="center" vertical="center" shrinkToFit="1"/>
    </xf>
    <xf numFmtId="167" fontId="12" fillId="15" borderId="59" xfId="1" applyNumberFormat="1" applyFill="1" applyBorder="1" applyAlignment="1">
      <alignment horizontal="center" vertical="center" shrinkToFit="1"/>
    </xf>
    <xf numFmtId="167" fontId="12" fillId="15" borderId="23" xfId="1" applyNumberFormat="1" applyFill="1" applyBorder="1" applyAlignment="1">
      <alignment horizontal="center" vertical="center" shrinkToFit="1"/>
    </xf>
    <xf numFmtId="164" fontId="12" fillId="14" borderId="19" xfId="0" applyNumberFormat="1" applyFont="1" applyFill="1" applyBorder="1" applyAlignment="1">
      <alignment horizontal="center" vertical="center"/>
    </xf>
    <xf numFmtId="164" fontId="12" fillId="14" borderId="59" xfId="0" applyNumberFormat="1" applyFont="1" applyFill="1" applyBorder="1" applyAlignment="1">
      <alignment horizontal="center" vertical="center"/>
    </xf>
    <xf numFmtId="0" fontId="12" fillId="4" borderId="59" xfId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12" borderId="59" xfId="1" applyFill="1" applyBorder="1" applyAlignment="1" applyProtection="1">
      <alignment horizontal="center" vertical="center" shrinkToFit="1"/>
      <protection locked="0"/>
    </xf>
    <xf numFmtId="49" fontId="12" fillId="13" borderId="40" xfId="0" applyNumberFormat="1" applyFont="1" applyFill="1" applyBorder="1" applyAlignment="1" applyProtection="1">
      <alignment horizontal="center" vertical="center" shrinkToFit="1"/>
      <protection locked="0"/>
    </xf>
    <xf numFmtId="49" fontId="12" fillId="13" borderId="44" xfId="0" applyNumberFormat="1" applyFont="1" applyFill="1" applyBorder="1" applyAlignment="1" applyProtection="1">
      <alignment horizontal="center" vertical="center" shrinkToFit="1"/>
      <protection locked="0"/>
    </xf>
    <xf numFmtId="49" fontId="12" fillId="13" borderId="14" xfId="0" applyNumberFormat="1" applyFont="1" applyFill="1" applyBorder="1" applyAlignment="1" applyProtection="1">
      <alignment horizontal="center" vertical="center" shrinkToFit="1"/>
      <protection locked="0"/>
    </xf>
    <xf numFmtId="49" fontId="12" fillId="13" borderId="46" xfId="0" applyNumberFormat="1" applyFont="1" applyFill="1" applyBorder="1" applyAlignment="1" applyProtection="1">
      <alignment horizontal="center" vertical="center" shrinkToFit="1"/>
      <protection locked="0"/>
    </xf>
    <xf numFmtId="49" fontId="12" fillId="13" borderId="43" xfId="0" applyNumberFormat="1" applyFont="1" applyFill="1" applyBorder="1" applyAlignment="1" applyProtection="1">
      <alignment horizontal="center" vertical="center" shrinkToFit="1"/>
      <protection locked="0"/>
    </xf>
    <xf numFmtId="49" fontId="12" fillId="13" borderId="66" xfId="0" applyNumberFormat="1" applyFont="1" applyFill="1" applyBorder="1" applyAlignment="1" applyProtection="1">
      <alignment horizontal="center" vertical="center" shrinkToFit="1"/>
      <protection locked="0"/>
    </xf>
    <xf numFmtId="0" fontId="12" fillId="14" borderId="16" xfId="0" applyFont="1" applyFill="1" applyBorder="1" applyAlignment="1">
      <alignment horizontal="center" vertical="center" shrinkToFit="1"/>
    </xf>
    <xf numFmtId="167" fontId="12" fillId="14" borderId="16" xfId="0" applyNumberFormat="1" applyFont="1" applyFill="1" applyBorder="1" applyAlignment="1">
      <alignment horizontal="center" vertical="center" shrinkToFit="1"/>
    </xf>
    <xf numFmtId="167" fontId="12" fillId="14" borderId="26" xfId="0" applyNumberFormat="1" applyFont="1" applyFill="1" applyBorder="1" applyAlignment="1">
      <alignment horizontal="center" vertical="center" shrinkToFit="1"/>
    </xf>
    <xf numFmtId="0" fontId="12" fillId="14" borderId="1" xfId="1" applyFill="1" applyBorder="1" applyAlignment="1">
      <alignment horizontal="center" vertical="center" shrinkToFit="1"/>
    </xf>
    <xf numFmtId="0" fontId="12" fillId="14" borderId="1" xfId="0" applyFont="1" applyFill="1" applyBorder="1" applyAlignment="1">
      <alignment horizontal="center" vertical="center" shrinkToFit="1"/>
    </xf>
    <xf numFmtId="0" fontId="12" fillId="14" borderId="16" xfId="1" applyFill="1" applyBorder="1" applyAlignment="1">
      <alignment horizontal="center" vertical="center" shrinkToFit="1"/>
    </xf>
    <xf numFmtId="167" fontId="12" fillId="14" borderId="1" xfId="0" applyNumberFormat="1" applyFont="1" applyFill="1" applyBorder="1" applyAlignment="1">
      <alignment horizontal="center" vertical="center" shrinkToFit="1"/>
    </xf>
    <xf numFmtId="167" fontId="12" fillId="14" borderId="15" xfId="0" applyNumberFormat="1" applyFont="1" applyFill="1" applyBorder="1" applyAlignment="1">
      <alignment horizontal="center" vertical="center" shrinkToFit="1"/>
    </xf>
    <xf numFmtId="164" fontId="25" fillId="12" borderId="8" xfId="1" applyNumberFormat="1" applyFont="1" applyFill="1" applyBorder="1" applyAlignment="1" applyProtection="1">
      <alignment horizontal="center" vertical="center" wrapText="1"/>
      <protection locked="0"/>
    </xf>
    <xf numFmtId="164" fontId="25" fillId="12" borderId="9" xfId="1" applyNumberFormat="1" applyFont="1" applyFill="1" applyBorder="1" applyAlignment="1" applyProtection="1">
      <alignment horizontal="center" vertical="center" wrapText="1"/>
      <protection locked="0"/>
    </xf>
    <xf numFmtId="164" fontId="25" fillId="12" borderId="10" xfId="1" applyNumberFormat="1" applyFont="1" applyFill="1" applyBorder="1" applyAlignment="1" applyProtection="1">
      <alignment horizontal="center" vertical="center" wrapText="1"/>
      <protection locked="0"/>
    </xf>
    <xf numFmtId="164" fontId="25" fillId="12" borderId="11" xfId="1" applyNumberFormat="1" applyFont="1" applyFill="1" applyBorder="1" applyAlignment="1" applyProtection="1">
      <alignment horizontal="center" vertical="center" wrapText="1"/>
      <protection locked="0"/>
    </xf>
    <xf numFmtId="164" fontId="25" fillId="12" borderId="0" xfId="1" applyNumberFormat="1" applyFont="1" applyFill="1" applyAlignment="1" applyProtection="1">
      <alignment horizontal="center" vertical="center" wrapText="1"/>
      <protection locked="0"/>
    </xf>
    <xf numFmtId="164" fontId="25" fillId="12" borderId="12" xfId="1" applyNumberFormat="1" applyFont="1" applyFill="1" applyBorder="1" applyAlignment="1" applyProtection="1">
      <alignment horizontal="center" vertical="center" wrapText="1"/>
      <protection locked="0"/>
    </xf>
    <xf numFmtId="164" fontId="25" fillId="12" borderId="37" xfId="1" applyNumberFormat="1" applyFont="1" applyFill="1" applyBorder="1" applyAlignment="1" applyProtection="1">
      <alignment horizontal="center" vertical="center" wrapText="1"/>
      <protection locked="0"/>
    </xf>
    <xf numFmtId="164" fontId="25" fillId="12" borderId="21" xfId="1" applyNumberFormat="1" applyFont="1" applyFill="1" applyBorder="1" applyAlignment="1" applyProtection="1">
      <alignment horizontal="center" vertical="center" wrapText="1"/>
      <protection locked="0"/>
    </xf>
    <xf numFmtId="164" fontId="25" fillId="12" borderId="38" xfId="1" applyNumberFormat="1" applyFont="1" applyFill="1" applyBorder="1" applyAlignment="1" applyProtection="1">
      <alignment horizontal="center" vertical="center" wrapText="1"/>
      <protection locked="0"/>
    </xf>
    <xf numFmtId="164" fontId="12" fillId="15" borderId="1" xfId="0" applyNumberFormat="1" applyFont="1" applyFill="1" applyBorder="1" applyAlignment="1">
      <alignment horizontal="center" vertical="center"/>
    </xf>
    <xf numFmtId="164" fontId="19" fillId="15" borderId="1" xfId="0" applyNumberFormat="1" applyFont="1" applyFill="1" applyBorder="1" applyAlignment="1">
      <alignment horizontal="center" vertical="center"/>
    </xf>
    <xf numFmtId="167" fontId="12" fillId="14" borderId="20" xfId="0" applyNumberFormat="1" applyFont="1" applyFill="1" applyBorder="1" applyAlignment="1">
      <alignment horizontal="center" vertical="center" shrinkToFit="1"/>
    </xf>
    <xf numFmtId="167" fontId="12" fillId="14" borderId="25" xfId="0" applyNumberFormat="1" applyFont="1" applyFill="1" applyBorder="1" applyAlignment="1">
      <alignment horizontal="center" vertical="center" shrinkToFit="1"/>
    </xf>
    <xf numFmtId="0" fontId="12" fillId="14" borderId="20" xfId="1" applyFill="1" applyBorder="1" applyAlignment="1">
      <alignment horizontal="center" vertical="center" shrinkToFit="1"/>
    </xf>
    <xf numFmtId="0" fontId="12" fillId="14" borderId="20" xfId="0" applyFont="1" applyFill="1" applyBorder="1" applyAlignment="1">
      <alignment horizontal="center" vertical="center" shrinkToFit="1"/>
    </xf>
    <xf numFmtId="0" fontId="12" fillId="4" borderId="0" xfId="0" applyFont="1" applyFill="1" applyAlignment="1">
      <alignment horizontal="right" vertical="center"/>
    </xf>
    <xf numFmtId="0" fontId="12" fillId="4" borderId="12" xfId="0" applyFont="1" applyFill="1" applyBorder="1" applyAlignment="1">
      <alignment horizontal="right" vertical="center"/>
    </xf>
    <xf numFmtId="167" fontId="12" fillId="14" borderId="63" xfId="0" applyNumberFormat="1" applyFont="1" applyFill="1" applyBorder="1" applyAlignment="1">
      <alignment horizontal="center" vertical="center"/>
    </xf>
    <xf numFmtId="167" fontId="12" fillId="14" borderId="64" xfId="0" applyNumberFormat="1" applyFont="1" applyFill="1" applyBorder="1" applyAlignment="1">
      <alignment horizontal="center" vertical="center"/>
    </xf>
    <xf numFmtId="167" fontId="12" fillId="14" borderId="65" xfId="0" applyNumberFormat="1" applyFont="1" applyFill="1" applyBorder="1" applyAlignment="1">
      <alignment horizontal="center" vertical="center"/>
    </xf>
    <xf numFmtId="0" fontId="39" fillId="4" borderId="0" xfId="0" applyFont="1" applyFill="1" applyAlignment="1">
      <alignment horizontal="center" vertical="center"/>
    </xf>
    <xf numFmtId="0" fontId="16" fillId="11" borderId="21" xfId="0" applyFont="1" applyFill="1" applyBorder="1" applyAlignment="1">
      <alignment horizontal="center" vertical="center"/>
    </xf>
    <xf numFmtId="14" fontId="61" fillId="4" borderId="28" xfId="0" quotePrefix="1" applyNumberFormat="1" applyFont="1" applyFill="1" applyBorder="1" applyAlignment="1">
      <alignment horizontal="center" vertical="center"/>
    </xf>
    <xf numFmtId="0" fontId="18" fillId="14" borderId="0" xfId="0" applyFont="1" applyFill="1" applyAlignment="1">
      <alignment horizontal="center" vertical="center" wrapText="1"/>
    </xf>
    <xf numFmtId="0" fontId="18" fillId="14" borderId="4" xfId="0" applyFont="1" applyFill="1" applyBorder="1" applyAlignment="1">
      <alignment horizontal="center" vertical="center" wrapText="1"/>
    </xf>
    <xf numFmtId="0" fontId="35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19" fillId="14" borderId="0" xfId="0" applyFont="1" applyFill="1" applyAlignment="1">
      <alignment horizontal="center" vertical="center"/>
    </xf>
    <xf numFmtId="14" fontId="19" fillId="14" borderId="0" xfId="0" applyNumberFormat="1" applyFont="1" applyFill="1" applyAlignment="1">
      <alignment horizontal="center" vertical="center"/>
    </xf>
    <xf numFmtId="1" fontId="19" fillId="14" borderId="0" xfId="0" applyNumberFormat="1" applyFont="1" applyFill="1" applyAlignment="1">
      <alignment horizontal="center" vertical="center" shrinkToFit="1"/>
    </xf>
    <xf numFmtId="0" fontId="12" fillId="12" borderId="0" xfId="0" applyFont="1" applyFill="1" applyAlignment="1" applyProtection="1">
      <alignment horizontal="left" vertical="center"/>
      <protection locked="0"/>
    </xf>
    <xf numFmtId="0" fontId="12" fillId="13" borderId="28" xfId="1" applyFill="1" applyBorder="1" applyAlignment="1" applyProtection="1">
      <alignment horizontal="center" vertical="center"/>
      <protection locked="0"/>
    </xf>
    <xf numFmtId="1" fontId="12" fillId="14" borderId="10" xfId="0" applyNumberFormat="1" applyFont="1" applyFill="1" applyBorder="1" applyAlignment="1">
      <alignment horizontal="center" vertical="center" shrinkToFit="1"/>
    </xf>
    <xf numFmtId="167" fontId="12" fillId="12" borderId="40" xfId="1" applyNumberFormat="1" applyFill="1" applyBorder="1" applyAlignment="1" applyProtection="1">
      <alignment horizontal="center" vertical="center"/>
      <protection locked="0"/>
    </xf>
    <xf numFmtId="167" fontId="12" fillId="12" borderId="14" xfId="1" applyNumberFormat="1" applyFill="1" applyBorder="1" applyAlignment="1" applyProtection="1">
      <alignment horizontal="center" vertical="center"/>
      <protection locked="0"/>
    </xf>
    <xf numFmtId="0" fontId="38" fillId="4" borderId="0" xfId="0" applyFont="1" applyFill="1" applyAlignment="1">
      <alignment horizontal="center" vertical="center"/>
    </xf>
    <xf numFmtId="49" fontId="12" fillId="12" borderId="41" xfId="1" applyNumberFormat="1" applyFill="1" applyBorder="1" applyAlignment="1" applyProtection="1">
      <alignment horizontal="left" vertical="top" wrapText="1"/>
      <protection locked="0"/>
    </xf>
    <xf numFmtId="49" fontId="12" fillId="12" borderId="54" xfId="1" applyNumberFormat="1" applyFill="1" applyBorder="1" applyAlignment="1" applyProtection="1">
      <alignment horizontal="left" vertical="top" wrapText="1"/>
      <protection locked="0"/>
    </xf>
    <xf numFmtId="49" fontId="12" fillId="12" borderId="7" xfId="1" applyNumberFormat="1" applyFill="1" applyBorder="1" applyAlignment="1" applyProtection="1">
      <alignment horizontal="left" vertical="top" wrapText="1"/>
      <protection locked="0"/>
    </xf>
    <xf numFmtId="49" fontId="12" fillId="12" borderId="55" xfId="1" applyNumberFormat="1" applyFill="1" applyBorder="1" applyAlignment="1" applyProtection="1">
      <alignment horizontal="left" vertical="top" wrapText="1"/>
      <protection locked="0"/>
    </xf>
    <xf numFmtId="1" fontId="12" fillId="12" borderId="41" xfId="1" applyNumberFormat="1" applyFill="1" applyBorder="1" applyAlignment="1" applyProtection="1">
      <alignment horizontal="left" vertical="center" wrapText="1"/>
      <protection locked="0"/>
    </xf>
    <xf numFmtId="1" fontId="12" fillId="12" borderId="13" xfId="1" applyNumberFormat="1" applyFill="1" applyBorder="1" applyAlignment="1" applyProtection="1">
      <alignment horizontal="left" vertical="center" wrapText="1"/>
      <protection locked="0"/>
    </xf>
    <xf numFmtId="1" fontId="12" fillId="12" borderId="54" xfId="1" applyNumberFormat="1" applyFill="1" applyBorder="1" applyAlignment="1" applyProtection="1">
      <alignment horizontal="left" vertical="center" wrapText="1"/>
      <protection locked="0"/>
    </xf>
    <xf numFmtId="1" fontId="12" fillId="12" borderId="7" xfId="1" applyNumberFormat="1" applyFill="1" applyBorder="1" applyAlignment="1" applyProtection="1">
      <alignment horizontal="left" vertical="center" wrapText="1"/>
      <protection locked="0"/>
    </xf>
    <xf numFmtId="1" fontId="12" fillId="12" borderId="4" xfId="1" applyNumberFormat="1" applyFill="1" applyBorder="1" applyAlignment="1" applyProtection="1">
      <alignment horizontal="left" vertical="center" wrapText="1"/>
      <protection locked="0"/>
    </xf>
    <xf numFmtId="1" fontId="12" fillId="12" borderId="55" xfId="1" applyNumberFormat="1" applyFill="1" applyBorder="1" applyAlignment="1" applyProtection="1">
      <alignment horizontal="left" vertical="center" wrapText="1"/>
      <protection locked="0"/>
    </xf>
    <xf numFmtId="167" fontId="12" fillId="12" borderId="1" xfId="1" applyNumberFormat="1" applyFill="1" applyBorder="1" applyAlignment="1" applyProtection="1">
      <alignment horizontal="center" vertical="center"/>
      <protection locked="0"/>
    </xf>
    <xf numFmtId="172" fontId="12" fillId="12" borderId="1" xfId="1" applyNumberFormat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>
      <alignment horizontal="right" vertical="center" shrinkToFit="1"/>
    </xf>
    <xf numFmtId="0" fontId="19" fillId="4" borderId="0" xfId="0" applyFont="1" applyFill="1" applyAlignment="1">
      <alignment horizontal="right" vertical="center"/>
    </xf>
    <xf numFmtId="0" fontId="12" fillId="14" borderId="40" xfId="0" applyFont="1" applyFill="1" applyBorder="1" applyAlignment="1">
      <alignment horizontal="center"/>
    </xf>
    <xf numFmtId="0" fontId="12" fillId="14" borderId="14" xfId="0" applyFont="1" applyFill="1" applyBorder="1" applyAlignment="1">
      <alignment horizontal="center"/>
    </xf>
    <xf numFmtId="0" fontId="12" fillId="15" borderId="1" xfId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9" fillId="11" borderId="60" xfId="0" applyFont="1" applyFill="1" applyBorder="1" applyAlignment="1">
      <alignment horizontal="center" vertical="center"/>
    </xf>
    <xf numFmtId="0" fontId="19" fillId="11" borderId="61" xfId="0" applyFont="1" applyFill="1" applyBorder="1" applyAlignment="1">
      <alignment horizontal="center" vertical="center"/>
    </xf>
    <xf numFmtId="0" fontId="19" fillId="11" borderId="62" xfId="0" applyFont="1" applyFill="1" applyBorder="1" applyAlignment="1">
      <alignment horizontal="center" vertical="center"/>
    </xf>
    <xf numFmtId="0" fontId="21" fillId="11" borderId="60" xfId="0" applyFont="1" applyFill="1" applyBorder="1" applyAlignment="1">
      <alignment horizontal="center" vertical="center"/>
    </xf>
    <xf numFmtId="0" fontId="24" fillId="11" borderId="61" xfId="0" applyFont="1" applyFill="1" applyBorder="1" applyAlignment="1">
      <alignment horizontal="center" vertical="center"/>
    </xf>
    <xf numFmtId="0" fontId="24" fillId="11" borderId="62" xfId="0" applyFont="1" applyFill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/>
    </xf>
    <xf numFmtId="0" fontId="24" fillId="11" borderId="15" xfId="0" applyFont="1" applyFill="1" applyBorder="1" applyAlignment="1">
      <alignment horizontal="center" vertical="center"/>
    </xf>
    <xf numFmtId="164" fontId="16" fillId="14" borderId="1" xfId="0" applyNumberFormat="1" applyFont="1" applyFill="1" applyBorder="1" applyAlignment="1">
      <alignment horizontal="center" vertical="center"/>
    </xf>
    <xf numFmtId="164" fontId="16" fillId="14" borderId="15" xfId="0" applyNumberFormat="1" applyFont="1" applyFill="1" applyBorder="1" applyAlignment="1">
      <alignment horizontal="center" vertical="center"/>
    </xf>
    <xf numFmtId="167" fontId="19" fillId="15" borderId="1" xfId="0" applyNumberFormat="1" applyFont="1" applyFill="1" applyBorder="1" applyAlignment="1">
      <alignment horizontal="center" vertical="center"/>
    </xf>
    <xf numFmtId="167" fontId="19" fillId="15" borderId="15" xfId="0" applyNumberFormat="1" applyFont="1" applyFill="1" applyBorder="1" applyAlignment="1">
      <alignment horizontal="center" vertical="center"/>
    </xf>
    <xf numFmtId="167" fontId="12" fillId="14" borderId="1" xfId="0" applyNumberFormat="1" applyFont="1" applyFill="1" applyBorder="1" applyAlignment="1">
      <alignment horizontal="center" vertical="center"/>
    </xf>
    <xf numFmtId="167" fontId="12" fillId="14" borderId="15" xfId="0" applyNumberFormat="1" applyFont="1" applyFill="1" applyBorder="1" applyAlignment="1">
      <alignment horizontal="center" vertical="center"/>
    </xf>
    <xf numFmtId="166" fontId="16" fillId="15" borderId="1" xfId="0" applyNumberFormat="1" applyFont="1" applyFill="1" applyBorder="1" applyAlignment="1">
      <alignment horizontal="center" vertical="center"/>
    </xf>
    <xf numFmtId="166" fontId="16" fillId="15" borderId="15" xfId="0" applyNumberFormat="1" applyFont="1" applyFill="1" applyBorder="1" applyAlignment="1">
      <alignment horizontal="center" vertical="center"/>
    </xf>
    <xf numFmtId="164" fontId="12" fillId="14" borderId="1" xfId="1" applyNumberFormat="1" applyFill="1" applyBorder="1" applyAlignment="1">
      <alignment horizontal="left" vertical="center"/>
    </xf>
    <xf numFmtId="1" fontId="12" fillId="14" borderId="1" xfId="1" applyNumberFormat="1" applyFill="1" applyBorder="1" applyAlignment="1">
      <alignment horizontal="left" vertical="center"/>
    </xf>
    <xf numFmtId="0" fontId="49" fillId="14" borderId="1" xfId="1" applyFont="1" applyFill="1" applyBorder="1" applyAlignment="1">
      <alignment horizontal="left" vertical="center" shrinkToFit="1"/>
    </xf>
    <xf numFmtId="2" fontId="12" fillId="14" borderId="1" xfId="1" applyNumberFormat="1" applyFill="1" applyBorder="1" applyAlignment="1">
      <alignment horizontal="left" vertical="center"/>
    </xf>
    <xf numFmtId="0" fontId="12" fillId="14" borderId="1" xfId="1" applyFill="1" applyBorder="1" applyAlignment="1">
      <alignment horizontal="left" vertical="center" shrinkToFit="1"/>
    </xf>
    <xf numFmtId="0" fontId="12" fillId="14" borderId="1" xfId="1" applyFill="1" applyBorder="1" applyAlignment="1">
      <alignment horizontal="left" vertical="center"/>
    </xf>
    <xf numFmtId="164" fontId="12" fillId="14" borderId="40" xfId="1" applyNumberFormat="1" applyFill="1" applyBorder="1" applyAlignment="1">
      <alignment horizontal="left" vertical="center"/>
    </xf>
    <xf numFmtId="164" fontId="12" fillId="14" borderId="44" xfId="1" applyNumberFormat="1" applyFill="1" applyBorder="1" applyAlignment="1">
      <alignment horizontal="left" vertical="center"/>
    </xf>
    <xf numFmtId="164" fontId="12" fillId="14" borderId="14" xfId="1" applyNumberFormat="1" applyFill="1" applyBorder="1" applyAlignment="1">
      <alignment horizontal="left" vertical="center"/>
    </xf>
    <xf numFmtId="167" fontId="12" fillId="14" borderId="1" xfId="1" applyNumberFormat="1" applyFill="1" applyBorder="1" applyAlignment="1">
      <alignment horizontal="left" vertical="center"/>
    </xf>
    <xf numFmtId="167" fontId="12" fillId="14" borderId="40" xfId="1" applyNumberFormat="1" applyFill="1" applyBorder="1" applyAlignment="1">
      <alignment horizontal="left" vertical="center" shrinkToFit="1"/>
    </xf>
    <xf numFmtId="167" fontId="12" fillId="14" borderId="44" xfId="1" applyNumberFormat="1" applyFill="1" applyBorder="1" applyAlignment="1">
      <alignment horizontal="left" vertical="center" shrinkToFit="1"/>
    </xf>
    <xf numFmtId="167" fontId="12" fillId="14" borderId="14" xfId="1" applyNumberFormat="1" applyFill="1" applyBorder="1" applyAlignment="1">
      <alignment horizontal="left" vertical="center" shrinkToFit="1"/>
    </xf>
    <xf numFmtId="0" fontId="12" fillId="14" borderId="40" xfId="1" applyFill="1" applyBorder="1" applyAlignment="1">
      <alignment horizontal="left" vertical="center" shrinkToFit="1"/>
    </xf>
    <xf numFmtId="0" fontId="12" fillId="14" borderId="44" xfId="1" applyFill="1" applyBorder="1" applyAlignment="1">
      <alignment horizontal="left" vertical="center" shrinkToFit="1"/>
    </xf>
    <xf numFmtId="0" fontId="12" fillId="14" borderId="14" xfId="1" applyFill="1" applyBorder="1" applyAlignment="1">
      <alignment horizontal="left" vertical="center" shrinkToFit="1"/>
    </xf>
    <xf numFmtId="0" fontId="12" fillId="7" borderId="1" xfId="1" applyFill="1" applyBorder="1" applyAlignment="1">
      <alignment horizontal="left" vertical="center"/>
    </xf>
    <xf numFmtId="0" fontId="34" fillId="4" borderId="0" xfId="1" applyFont="1" applyFill="1" applyAlignment="1">
      <alignment horizontal="center"/>
    </xf>
    <xf numFmtId="164" fontId="12" fillId="14" borderId="7" xfId="1" applyNumberFormat="1" applyFill="1" applyBorder="1" applyAlignment="1">
      <alignment horizontal="left" vertical="center"/>
    </xf>
    <xf numFmtId="164" fontId="12" fillId="14" borderId="4" xfId="1" applyNumberFormat="1" applyFill="1" applyBorder="1" applyAlignment="1">
      <alignment horizontal="left" vertical="center"/>
    </xf>
    <xf numFmtId="164" fontId="12" fillId="14" borderId="55" xfId="1" applyNumberFormat="1" applyFill="1" applyBorder="1" applyAlignment="1">
      <alignment horizontal="left" vertical="center"/>
    </xf>
    <xf numFmtId="164" fontId="12" fillId="7" borderId="1" xfId="1" applyNumberFormat="1" applyFill="1" applyBorder="1" applyAlignment="1">
      <alignment horizontal="left" vertical="center"/>
    </xf>
    <xf numFmtId="164" fontId="12" fillId="14" borderId="5" xfId="1" applyNumberFormat="1" applyFill="1" applyBorder="1" applyAlignment="1">
      <alignment horizontal="left" vertical="center"/>
    </xf>
    <xf numFmtId="164" fontId="12" fillId="14" borderId="0" xfId="1" applyNumberFormat="1" applyFill="1" applyAlignment="1">
      <alignment horizontal="left" vertical="center"/>
    </xf>
    <xf numFmtId="164" fontId="12" fillId="14" borderId="6" xfId="1" applyNumberFormat="1" applyFill="1" applyBorder="1" applyAlignment="1">
      <alignment horizontal="left" vertical="center"/>
    </xf>
    <xf numFmtId="170" fontId="12" fillId="7" borderId="1" xfId="1" applyNumberFormat="1" applyFill="1" applyBorder="1" applyAlignment="1">
      <alignment horizontal="left" vertical="center"/>
    </xf>
    <xf numFmtId="0" fontId="12" fillId="14" borderId="36" xfId="1" applyFill="1" applyBorder="1" applyAlignment="1">
      <alignment horizontal="left" vertical="center" shrinkToFit="1"/>
    </xf>
    <xf numFmtId="3" fontId="12" fillId="14" borderId="40" xfId="1" applyNumberFormat="1" applyFill="1" applyBorder="1" applyAlignment="1">
      <alignment horizontal="left" vertical="center"/>
    </xf>
    <xf numFmtId="3" fontId="12" fillId="14" borderId="44" xfId="1" applyNumberFormat="1" applyFill="1" applyBorder="1" applyAlignment="1">
      <alignment horizontal="left" vertical="center"/>
    </xf>
    <xf numFmtId="3" fontId="12" fillId="14" borderId="14" xfId="1" applyNumberFormat="1" applyFill="1" applyBorder="1" applyAlignment="1">
      <alignment horizontal="left" vertical="center"/>
    </xf>
    <xf numFmtId="167" fontId="12" fillId="7" borderId="1" xfId="1" applyNumberFormat="1" applyFill="1" applyBorder="1" applyAlignment="1">
      <alignment horizontal="left" vertical="center"/>
    </xf>
    <xf numFmtId="164" fontId="12" fillId="7" borderId="40" xfId="1" applyNumberFormat="1" applyFill="1" applyBorder="1" applyAlignment="1">
      <alignment horizontal="left" vertical="center"/>
    </xf>
    <xf numFmtId="164" fontId="12" fillId="7" borderId="44" xfId="1" applyNumberFormat="1" applyFill="1" applyBorder="1" applyAlignment="1">
      <alignment horizontal="left" vertical="center"/>
    </xf>
    <xf numFmtId="164" fontId="12" fillId="7" borderId="14" xfId="1" applyNumberFormat="1" applyFill="1" applyBorder="1" applyAlignment="1">
      <alignment horizontal="left" vertical="center"/>
    </xf>
    <xf numFmtId="2" fontId="12" fillId="7" borderId="40" xfId="1" applyNumberFormat="1" applyFill="1" applyBorder="1" applyAlignment="1">
      <alignment horizontal="left" vertical="center"/>
    </xf>
    <xf numFmtId="2" fontId="12" fillId="7" borderId="44" xfId="1" applyNumberFormat="1" applyFill="1" applyBorder="1" applyAlignment="1">
      <alignment horizontal="left" vertical="center"/>
    </xf>
    <xf numFmtId="2" fontId="12" fillId="7" borderId="14" xfId="1" applyNumberFormat="1" applyFill="1" applyBorder="1" applyAlignment="1">
      <alignment horizontal="left" vertical="center"/>
    </xf>
    <xf numFmtId="1" fontId="12" fillId="7" borderId="40" xfId="1" applyNumberFormat="1" applyFill="1" applyBorder="1" applyAlignment="1">
      <alignment horizontal="left" vertical="center"/>
    </xf>
    <xf numFmtId="1" fontId="12" fillId="7" borderId="44" xfId="1" applyNumberFormat="1" applyFill="1" applyBorder="1" applyAlignment="1">
      <alignment horizontal="left" vertical="center"/>
    </xf>
    <xf numFmtId="1" fontId="12" fillId="7" borderId="14" xfId="1" applyNumberFormat="1" applyFill="1" applyBorder="1" applyAlignment="1">
      <alignment horizontal="left" vertical="center"/>
    </xf>
    <xf numFmtId="0" fontId="12" fillId="7" borderId="40" xfId="1" applyFill="1" applyBorder="1" applyAlignment="1">
      <alignment horizontal="left" vertical="center"/>
    </xf>
    <xf numFmtId="0" fontId="12" fillId="7" borderId="44" xfId="1" applyFill="1" applyBorder="1" applyAlignment="1">
      <alignment horizontal="left" vertical="center"/>
    </xf>
    <xf numFmtId="0" fontId="12" fillId="7" borderId="14" xfId="1" applyFill="1" applyBorder="1" applyAlignment="1">
      <alignment horizontal="left" vertical="center"/>
    </xf>
    <xf numFmtId="164" fontId="12" fillId="7" borderId="7" xfId="1" applyNumberFormat="1" applyFill="1" applyBorder="1" applyAlignment="1">
      <alignment horizontal="left" vertical="center"/>
    </xf>
    <xf numFmtId="164" fontId="12" fillId="7" borderId="4" xfId="1" applyNumberFormat="1" applyFill="1" applyBorder="1" applyAlignment="1">
      <alignment horizontal="left" vertical="center"/>
    </xf>
    <xf numFmtId="164" fontId="12" fillId="7" borderId="55" xfId="1" applyNumberFormat="1" applyFill="1" applyBorder="1" applyAlignment="1">
      <alignment horizontal="left" vertical="center"/>
    </xf>
    <xf numFmtId="0" fontId="12" fillId="14" borderId="36" xfId="1" applyFill="1" applyBorder="1" applyAlignment="1">
      <alignment horizontal="left" vertical="center"/>
    </xf>
    <xf numFmtId="170" fontId="12" fillId="14" borderId="1" xfId="1" applyNumberFormat="1" applyFill="1" applyBorder="1" applyAlignment="1">
      <alignment horizontal="left" vertical="center"/>
    </xf>
    <xf numFmtId="0" fontId="12" fillId="4" borderId="40" xfId="1" applyFill="1" applyBorder="1" applyAlignment="1">
      <alignment horizontal="left" vertical="center"/>
    </xf>
    <xf numFmtId="0" fontId="12" fillId="4" borderId="44" xfId="1" applyFill="1" applyBorder="1" applyAlignment="1">
      <alignment horizontal="left" vertical="center"/>
    </xf>
    <xf numFmtId="0" fontId="12" fillId="4" borderId="14" xfId="1" applyFill="1" applyBorder="1" applyAlignment="1">
      <alignment horizontal="left" vertical="center"/>
    </xf>
  </cellXfs>
  <cellStyles count="14">
    <cellStyle name="Normal" xfId="0" builtinId="0"/>
    <cellStyle name="Normal 10" xfId="11" xr:uid="{1202432B-76C3-4512-9CD3-E76FF2AA2A40}"/>
    <cellStyle name="Normal 11" xfId="12" xr:uid="{B30506AE-34E8-4B59-A33E-088E512EB9B6}"/>
    <cellStyle name="Normal 12" xfId="13" xr:uid="{89BFFD47-FBF3-4214-9942-CC581D17F85C}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4 2" xfId="7" xr:uid="{00000000-0005-0000-0000-000005000000}"/>
    <cellStyle name="Normal 5" xfId="4" xr:uid="{00000000-0005-0000-0000-000006000000}"/>
    <cellStyle name="Normal 6" xfId="5" xr:uid="{00000000-0005-0000-0000-000007000000}"/>
    <cellStyle name="Normal 7" xfId="6" xr:uid="{00000000-0005-0000-0000-000008000000}"/>
    <cellStyle name="Normal 8" xfId="9" xr:uid="{EF1B0ACF-4AF5-4DFF-8FC6-99712A6F35F3}"/>
    <cellStyle name="Normal 9" xfId="10" xr:uid="{2378D497-99CE-48A0-AC37-54BA4A0B9AA2}"/>
    <cellStyle name="Normal_Sheet4" xfId="8" xr:uid="{31760EBE-AE79-4BC5-8819-F62F52C5966E}"/>
  </cellStyles>
  <dxfs count="48"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ont>
        <color rgb="FFFF0000"/>
      </font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ont>
        <color rgb="FFFF0000"/>
      </font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ont>
        <color rgb="FFFF0000"/>
      </font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ont>
        <color rgb="FFFF0000"/>
      </font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ont>
        <color theme="1"/>
      </font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ont>
        <color theme="1"/>
      </font>
      <fill>
        <patternFill>
          <bgColor rgb="FFFF9393"/>
        </patternFill>
      </fill>
    </dxf>
    <dxf>
      <font>
        <color theme="1"/>
      </font>
      <fill>
        <patternFill>
          <bgColor rgb="FFFF9393"/>
        </patternFill>
      </fill>
    </dxf>
    <dxf>
      <fill>
        <patternFill>
          <bgColor rgb="FFFF9393"/>
        </patternFill>
      </fill>
    </dxf>
    <dxf>
      <font>
        <color theme="1"/>
      </font>
      <fill>
        <patternFill>
          <fgColor auto="1"/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</dxfs>
  <tableStyles count="0" defaultTableStyle="TableStyleMedium2" defaultPivotStyle="PivotStyleLight16"/>
  <colors>
    <mruColors>
      <color rgb="FFFFFFCC"/>
      <color rgb="FF0000CC"/>
      <color rgb="FFFF9393"/>
      <color rgb="FFE8F5F8"/>
      <color rgb="FFFFFF99"/>
      <color rgb="FF8FFF8F"/>
      <color rgb="FFA7FFA7"/>
      <color rgb="FFC2D597"/>
      <color rgb="FFBDD28E"/>
      <color rgb="FFFB5C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0.45 POWER GRADATION CHART</a:t>
            </a:r>
          </a:p>
        </c:rich>
      </c:tx>
      <c:layout>
        <c:manualLayout>
          <c:xMode val="edge"/>
          <c:yMode val="edge"/>
          <c:x val="0.37511569118376331"/>
          <c:y val="2.7954256670902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73281843968503E-2"/>
          <c:y val="6.6073707834355996E-2"/>
          <c:w val="0.86267397574431492"/>
          <c:h val="0.86149949830179551"/>
        </c:manualLayout>
      </c:layout>
      <c:scatterChart>
        <c:scatterStyle val="lineMarker"/>
        <c:varyColors val="0"/>
        <c:ser>
          <c:idx val="0"/>
          <c:order val="0"/>
          <c:tx>
            <c:strRef>
              <c:f>'AGG BLEND'!$AM$23</c:f>
              <c:strCache>
                <c:ptCount val="1"/>
                <c:pt idx="0">
                  <c:v>JMF BLEND</c:v>
                </c:pt>
              </c:strCache>
            </c:strRef>
          </c:tx>
          <c:spPr>
            <a:ln w="25400">
              <a:solidFill>
                <a:srgbClr val="FF0000"/>
              </a:solidFill>
              <a:prstDash val="lgDashDot"/>
            </a:ln>
          </c:spPr>
          <c:marker>
            <c:symbol val="circle"/>
            <c:size val="5"/>
            <c:spPr>
              <a:solidFill>
                <a:srgbClr val="C0C0C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'AGG BLEND'!$AK$24:$AK$36</c:f>
              <c:numCache>
                <c:formatCode>General</c:formatCode>
                <c:ptCount val="13"/>
                <c:pt idx="0">
                  <c:v>1.3660402567543954</c:v>
                </c:pt>
                <c:pt idx="1">
                  <c:v>1.200165301609877</c:v>
                </c:pt>
                <c:pt idx="2">
                  <c:v>1</c:v>
                </c:pt>
                <c:pt idx="3">
                  <c:v>0.87857242542864411</c:v>
                </c:pt>
                <c:pt idx="4">
                  <c:v>0.73204284797281272</c:v>
                </c:pt>
                <c:pt idx="5">
                  <c:v>0.64315266046116626</c:v>
                </c:pt>
                <c:pt idx="6">
                  <c:v>0.47024991198971094</c:v>
                </c:pt>
                <c:pt idx="7">
                  <c:v>0.3445742471112157</c:v>
                </c:pt>
                <c:pt idx="8">
                  <c:v>0.2523642189622568</c:v>
                </c:pt>
                <c:pt idx="9">
                  <c:v>0.18456406029791109</c:v>
                </c:pt>
                <c:pt idx="10">
                  <c:v>0.13510880033390882</c:v>
                </c:pt>
                <c:pt idx="11">
                  <c:v>9.9284946297893126E-2</c:v>
                </c:pt>
                <c:pt idx="12">
                  <c:v>7.2123882811047119E-2</c:v>
                </c:pt>
              </c:numCache>
            </c:numRef>
          </c:xVal>
          <c:yVal>
            <c:numRef>
              <c:f>'AGG BLEND'!$AM$24:$AM$36</c:f>
              <c:numCache>
                <c:formatCode>0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96.1</c:v>
                </c:pt>
                <c:pt idx="4">
                  <c:v>79</c:v>
                </c:pt>
                <c:pt idx="5">
                  <c:v>71</c:v>
                </c:pt>
                <c:pt idx="6">
                  <c:v>50</c:v>
                </c:pt>
                <c:pt idx="7">
                  <c:v>38</c:v>
                </c:pt>
                <c:pt idx="8">
                  <c:v>28</c:v>
                </c:pt>
                <c:pt idx="9">
                  <c:v>20</c:v>
                </c:pt>
                <c:pt idx="10">
                  <c:v>12</c:v>
                </c:pt>
                <c:pt idx="11">
                  <c:v>7</c:v>
                </c:pt>
                <c:pt idx="12" formatCode="0.0">
                  <c:v>4.5999999999999996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59-40BA-A78D-5F944D39BB5B}"/>
            </c:ext>
          </c:extLst>
        </c:ser>
        <c:ser>
          <c:idx val="2"/>
          <c:order val="1"/>
          <c:tx>
            <c:strRef>
              <c:f>'AGG BLEND'!$AO$23</c:f>
              <c:strCache>
                <c:ptCount val="1"/>
                <c:pt idx="0">
                  <c:v>UPPER SPEC. LIMIT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'AGG BLEND'!$AK$24:$AK$36</c:f>
              <c:numCache>
                <c:formatCode>General</c:formatCode>
                <c:ptCount val="13"/>
                <c:pt idx="0">
                  <c:v>1.3660402567543954</c:v>
                </c:pt>
                <c:pt idx="1">
                  <c:v>1.200165301609877</c:v>
                </c:pt>
                <c:pt idx="2">
                  <c:v>1</c:v>
                </c:pt>
                <c:pt idx="3">
                  <c:v>0.87857242542864411</c:v>
                </c:pt>
                <c:pt idx="4">
                  <c:v>0.73204284797281272</c:v>
                </c:pt>
                <c:pt idx="5">
                  <c:v>0.64315266046116626</c:v>
                </c:pt>
                <c:pt idx="6">
                  <c:v>0.47024991198971094</c:v>
                </c:pt>
                <c:pt idx="7">
                  <c:v>0.3445742471112157</c:v>
                </c:pt>
                <c:pt idx="8">
                  <c:v>0.2523642189622568</c:v>
                </c:pt>
                <c:pt idx="9">
                  <c:v>0.18456406029791109</c:v>
                </c:pt>
                <c:pt idx="10">
                  <c:v>0.13510880033390882</c:v>
                </c:pt>
                <c:pt idx="11">
                  <c:v>9.9284946297893126E-2</c:v>
                </c:pt>
                <c:pt idx="12">
                  <c:v>7.2123882811047119E-2</c:v>
                </c:pt>
              </c:numCache>
            </c:numRef>
          </c:xVal>
          <c:yVal>
            <c:numRef>
              <c:f>'AGG BLEND'!$AO$24:$AO$36</c:f>
              <c:numCache>
                <c:formatCode>0</c:formatCode>
                <c:ptCount val="13"/>
                <c:pt idx="0">
                  <c:v>100</c:v>
                </c:pt>
                <c:pt idx="1">
                  <c:v>#N/A</c:v>
                </c:pt>
                <c:pt idx="2">
                  <c:v>100</c:v>
                </c:pt>
                <c:pt idx="3">
                  <c:v>#N/A</c:v>
                </c:pt>
                <c:pt idx="4">
                  <c:v>85</c:v>
                </c:pt>
                <c:pt idx="5">
                  <c:v>#N/A</c:v>
                </c:pt>
                <c:pt idx="6">
                  <c:v>60</c:v>
                </c:pt>
                <c:pt idx="7">
                  <c:v>45</c:v>
                </c:pt>
                <c:pt idx="8">
                  <c:v>35</c:v>
                </c:pt>
                <c:pt idx="9">
                  <c:v>#N/A</c:v>
                </c:pt>
                <c:pt idx="10">
                  <c:v>18</c:v>
                </c:pt>
                <c:pt idx="11">
                  <c:v>#N/A</c:v>
                </c:pt>
                <c:pt idx="12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59-40BA-A78D-5F944D39BB5B}"/>
            </c:ext>
          </c:extLst>
        </c:ser>
        <c:ser>
          <c:idx val="1"/>
          <c:order val="2"/>
          <c:tx>
            <c:strRef>
              <c:f>'AGG BLEND'!$AN$23</c:f>
              <c:strCache>
                <c:ptCount val="1"/>
                <c:pt idx="0">
                  <c:v>LOWER SPEC. LIMIT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'AGG BLEND'!$AK$24:$AK$36</c:f>
              <c:numCache>
                <c:formatCode>General</c:formatCode>
                <c:ptCount val="13"/>
                <c:pt idx="0">
                  <c:v>1.3660402567543954</c:v>
                </c:pt>
                <c:pt idx="1">
                  <c:v>1.200165301609877</c:v>
                </c:pt>
                <c:pt idx="2">
                  <c:v>1</c:v>
                </c:pt>
                <c:pt idx="3">
                  <c:v>0.87857242542864411</c:v>
                </c:pt>
                <c:pt idx="4">
                  <c:v>0.73204284797281272</c:v>
                </c:pt>
                <c:pt idx="5">
                  <c:v>0.64315266046116626</c:v>
                </c:pt>
                <c:pt idx="6">
                  <c:v>0.47024991198971094</c:v>
                </c:pt>
                <c:pt idx="7">
                  <c:v>0.3445742471112157</c:v>
                </c:pt>
                <c:pt idx="8">
                  <c:v>0.2523642189622568</c:v>
                </c:pt>
                <c:pt idx="9">
                  <c:v>0.18456406029791109</c:v>
                </c:pt>
                <c:pt idx="10">
                  <c:v>0.13510880033390882</c:v>
                </c:pt>
                <c:pt idx="11">
                  <c:v>9.9284946297893126E-2</c:v>
                </c:pt>
                <c:pt idx="12">
                  <c:v>7.2123882811047119E-2</c:v>
                </c:pt>
              </c:numCache>
            </c:numRef>
          </c:xVal>
          <c:yVal>
            <c:numRef>
              <c:f>'AGG BLEND'!$AN$24:$AN$36</c:f>
              <c:numCache>
                <c:formatCode>0</c:formatCode>
                <c:ptCount val="13"/>
                <c:pt idx="0">
                  <c:v>100</c:v>
                </c:pt>
                <c:pt idx="1">
                  <c:v>#N/A</c:v>
                </c:pt>
                <c:pt idx="2">
                  <c:v>75</c:v>
                </c:pt>
                <c:pt idx="3">
                  <c:v>#N/A</c:v>
                </c:pt>
                <c:pt idx="4">
                  <c:v>50</c:v>
                </c:pt>
                <c:pt idx="5">
                  <c:v>#N/A</c:v>
                </c:pt>
                <c:pt idx="6">
                  <c:v>25</c:v>
                </c:pt>
                <c:pt idx="7">
                  <c:v>15</c:v>
                </c:pt>
                <c:pt idx="8">
                  <c:v>10</c:v>
                </c:pt>
                <c:pt idx="9">
                  <c:v>#N/A</c:v>
                </c:pt>
                <c:pt idx="10">
                  <c:v>3</c:v>
                </c:pt>
                <c:pt idx="11">
                  <c:v>#N/A</c:v>
                </c:pt>
                <c:pt idx="1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59-40BA-A78D-5F944D39BB5B}"/>
            </c:ext>
          </c:extLst>
        </c:ser>
        <c:ser>
          <c:idx val="3"/>
          <c:order val="3"/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  <c:marker>
            <c:symbol val="none"/>
          </c:marker>
          <c:xVal>
            <c:numRef>
              <c:f>'AGG BLEND'!$AK$25:$AL$25</c:f>
              <c:numCache>
                <c:formatCode>General</c:formatCode>
                <c:ptCount val="2"/>
                <c:pt idx="0">
                  <c:v>1.200165301609877</c:v>
                </c:pt>
                <c:pt idx="1">
                  <c:v>1.200165301609877</c:v>
                </c:pt>
              </c:numCache>
            </c:numRef>
          </c:xVal>
          <c:yVal>
            <c:numRef>
              <c:f>'AGG BLEND'!$AQ$24:$AR$24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59-40BA-A78D-5F944D39BB5B}"/>
            </c:ext>
          </c:extLst>
        </c:ser>
        <c:ser>
          <c:idx val="4"/>
          <c:order val="4"/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  <c:marker>
            <c:symbol val="none"/>
          </c:marker>
          <c:xVal>
            <c:numRef>
              <c:f>'AGG BLEND'!$AK$27:$AL$27</c:f>
              <c:numCache>
                <c:formatCode>General</c:formatCode>
                <c:ptCount val="2"/>
                <c:pt idx="0">
                  <c:v>0.87857242542864411</c:v>
                </c:pt>
                <c:pt idx="1">
                  <c:v>0.87857242542864411</c:v>
                </c:pt>
              </c:numCache>
            </c:numRef>
          </c:xVal>
          <c:yVal>
            <c:numRef>
              <c:f>'AGG BLEND'!$AQ$24:$AR$24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C59-40BA-A78D-5F944D39BB5B}"/>
            </c:ext>
          </c:extLst>
        </c:ser>
        <c:ser>
          <c:idx val="6"/>
          <c:order val="5"/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  <c:marker>
            <c:symbol val="none"/>
          </c:marker>
          <c:xVal>
            <c:numRef>
              <c:f>'AGG BLEND'!$AK$29:$AL$29</c:f>
              <c:numCache>
                <c:formatCode>General</c:formatCode>
                <c:ptCount val="2"/>
                <c:pt idx="0">
                  <c:v>0.64315266046116626</c:v>
                </c:pt>
                <c:pt idx="1">
                  <c:v>0.64315266046116626</c:v>
                </c:pt>
              </c:numCache>
            </c:numRef>
          </c:xVal>
          <c:yVal>
            <c:numRef>
              <c:f>'AGG BLEND'!$AQ$24:$AR$24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C59-40BA-A78D-5F944D39BB5B}"/>
            </c:ext>
          </c:extLst>
        </c:ser>
        <c:ser>
          <c:idx val="7"/>
          <c:order val="6"/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  <c:marker>
            <c:symbol val="none"/>
          </c:marker>
          <c:xVal>
            <c:numRef>
              <c:f>'AGG BLEND'!$AK$30:$AL$30</c:f>
              <c:numCache>
                <c:formatCode>General</c:formatCode>
                <c:ptCount val="2"/>
                <c:pt idx="0">
                  <c:v>0.47024991198971094</c:v>
                </c:pt>
                <c:pt idx="1">
                  <c:v>0.47024991198971094</c:v>
                </c:pt>
              </c:numCache>
            </c:numRef>
          </c:xVal>
          <c:yVal>
            <c:numRef>
              <c:f>'AGG BLEND'!$AQ$24:$AR$24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C59-40BA-A78D-5F944D39BB5B}"/>
            </c:ext>
          </c:extLst>
        </c:ser>
        <c:ser>
          <c:idx val="8"/>
          <c:order val="7"/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  <c:marker>
            <c:symbol val="none"/>
          </c:marker>
          <c:xVal>
            <c:numRef>
              <c:f>'AGG BLEND'!$AK$31:$AL$31</c:f>
              <c:numCache>
                <c:formatCode>General</c:formatCode>
                <c:ptCount val="2"/>
                <c:pt idx="0">
                  <c:v>0.3445742471112157</c:v>
                </c:pt>
                <c:pt idx="1">
                  <c:v>0.3445742471112157</c:v>
                </c:pt>
              </c:numCache>
            </c:numRef>
          </c:xVal>
          <c:yVal>
            <c:numRef>
              <c:f>'AGG BLEND'!$AQ$24:$AR$24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C59-40BA-A78D-5F944D39BB5B}"/>
            </c:ext>
          </c:extLst>
        </c:ser>
        <c:ser>
          <c:idx val="9"/>
          <c:order val="8"/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  <c:marker>
            <c:symbol val="none"/>
          </c:marker>
          <c:xVal>
            <c:numRef>
              <c:f>'AGG BLEND'!$AK$36:$AL$36</c:f>
              <c:numCache>
                <c:formatCode>General</c:formatCode>
                <c:ptCount val="2"/>
                <c:pt idx="0">
                  <c:v>7.2123882811047119E-2</c:v>
                </c:pt>
                <c:pt idx="1">
                  <c:v>7.2123882811047119E-2</c:v>
                </c:pt>
              </c:numCache>
            </c:numRef>
          </c:xVal>
          <c:yVal>
            <c:numRef>
              <c:f>'AGG BLEND'!$AQ$24:$AR$24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C59-40BA-A78D-5F944D39BB5B}"/>
            </c:ext>
          </c:extLst>
        </c:ser>
        <c:ser>
          <c:idx val="5"/>
          <c:order val="9"/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  <c:marker>
            <c:symbol val="none"/>
          </c:marker>
          <c:xVal>
            <c:numRef>
              <c:f>'AGG BLEND'!$AK$33:$AL$33</c:f>
              <c:numCache>
                <c:formatCode>General</c:formatCode>
                <c:ptCount val="2"/>
                <c:pt idx="0">
                  <c:v>0.18456406029791109</c:v>
                </c:pt>
                <c:pt idx="1">
                  <c:v>0.18456406029791109</c:v>
                </c:pt>
              </c:numCache>
            </c:numRef>
          </c:xVal>
          <c:yVal>
            <c:numRef>
              <c:f>'AGG BLEND'!$AQ$24:$AR$24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C59-40BA-A78D-5F944D39B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523168"/>
        <c:axId val="563523560"/>
      </c:scatterChart>
      <c:valAx>
        <c:axId val="563523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SIEVE SIZES</a:t>
                </a:r>
              </a:p>
            </c:rich>
          </c:tx>
          <c:layout>
            <c:manualLayout>
              <c:xMode val="edge"/>
              <c:yMode val="edge"/>
              <c:x val="0.48018493656034927"/>
              <c:y val="0.935197117196436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3523560"/>
        <c:crosses val="autoZero"/>
        <c:crossBetween val="midCat"/>
      </c:valAx>
      <c:valAx>
        <c:axId val="563523560"/>
        <c:scaling>
          <c:orientation val="minMax"/>
          <c:max val="100"/>
          <c:min val="0"/>
        </c:scaling>
        <c:delete val="0"/>
        <c:axPos val="l"/>
        <c:majorGridlines>
          <c:spPr>
            <a:ln w="25400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PASSING</a:t>
                </a:r>
              </a:p>
            </c:rich>
          </c:tx>
          <c:layout>
            <c:manualLayout>
              <c:xMode val="edge"/>
              <c:yMode val="edge"/>
              <c:x val="2.2119815668202765E-2"/>
              <c:y val="0.4167725540025413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3523168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66882556647730107"/>
          <c:y val="0.5717917804747088"/>
          <c:w val="0.20810956479701631"/>
          <c:h val="0.124985681233798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24797632186976"/>
          <c:y val="6.3752248542154E-2"/>
          <c:w val="0.79149904033822682"/>
          <c:h val="0.81673007610450366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'RAP BLENDING'!$T$29:$T$31</c:f>
              <c:numCache>
                <c:formatCode>0.00</c:formatCode>
                <c:ptCount val="3"/>
                <c:pt idx="0" formatCode="General">
                  <c:v>#N/A</c:v>
                </c:pt>
                <c:pt idx="1">
                  <c:v>#N/A</c:v>
                </c:pt>
                <c:pt idx="2" formatCode="General">
                  <c:v>#N/A</c:v>
                </c:pt>
              </c:numCache>
            </c:numRef>
          </c:xVal>
          <c:yVal>
            <c:numRef>
              <c:f>'RAP BLENDING'!$U$29:$U$31</c:f>
              <c:numCache>
                <c:formatCode>General</c:formatCode>
                <c:ptCount val="3"/>
                <c:pt idx="0" formatCode="0.0">
                  <c:v>#N/A</c:v>
                </c:pt>
                <c:pt idx="1">
                  <c:v>#N/A</c:v>
                </c:pt>
                <c:pt idx="2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E4-422D-AD99-3E76BE868884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lgDash"/>
            </a:ln>
          </c:spPr>
          <c:marker>
            <c:symbol val="plus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'RAP BLENDING'!$S$35:$S$36</c:f>
            </c:numRef>
          </c:xVal>
          <c:yVal>
            <c:numRef>
              <c:f>'RAP BLENDING'!$T$35:$T$36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E4-422D-AD99-3E76BE868884}"/>
            </c:ext>
          </c:extLst>
        </c:ser>
        <c:ser>
          <c:idx val="3"/>
          <c:order val="2"/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'RAP BLENDING'!$U$35:$U$36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xVal>
          <c:yVal>
            <c:numRef>
              <c:f>'RAP BLENDING'!$V$35:$V$36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E4-422D-AD99-3E76BE868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670592"/>
        <c:axId val="326673152"/>
      </c:scatterChart>
      <c:valAx>
        <c:axId val="326670592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RPBR</a:t>
                </a:r>
              </a:p>
            </c:rich>
          </c:tx>
          <c:layout>
            <c:manualLayout>
              <c:xMode val="edge"/>
              <c:yMode val="edge"/>
              <c:x val="0.50183714118289346"/>
              <c:y val="0.93596020162751625"/>
            </c:manualLayout>
          </c:layout>
          <c:overlay val="0"/>
          <c:spPr>
            <a:solidFill>
              <a:srgbClr val="CCFFCC"/>
            </a:solidFill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6673152"/>
        <c:crossesAt val="10"/>
        <c:crossBetween val="midCat"/>
        <c:majorUnit val="10"/>
        <c:minorUnit val="5"/>
      </c:valAx>
      <c:valAx>
        <c:axId val="326673152"/>
        <c:scaling>
          <c:orientation val="minMax"/>
          <c:max val="110"/>
          <c:min val="4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High Critical Temperature,</a:t>
                </a:r>
                <a:r>
                  <a:rPr lang="en-US" sz="900" b="1" baseline="0"/>
                  <a:t> C</a:t>
                </a:r>
                <a:endParaRPr lang="en-US" sz="900" b="1"/>
              </a:p>
            </c:rich>
          </c:tx>
          <c:layout>
            <c:manualLayout>
              <c:xMode val="edge"/>
              <c:yMode val="edge"/>
              <c:x val="3.2357428614957912E-2"/>
              <c:y val="0.24863255691364938"/>
            </c:manualLayout>
          </c:layout>
          <c:overlay val="0"/>
          <c:spPr>
            <a:solidFill>
              <a:srgbClr val="CCFFCC"/>
            </a:solidFill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6670592"/>
        <c:crossesAt val="0"/>
        <c:crossBetween val="midCat"/>
        <c:minorUnit val="10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07989488646523"/>
          <c:y val="6.3752248542154E-2"/>
          <c:w val="0.79166715226151219"/>
          <c:h val="0.81673007610450366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'RAP BLENDING'!$T$19:$T$21</c:f>
              <c:numCache>
                <c:formatCode>0.00</c:formatCode>
                <c:ptCount val="3"/>
                <c:pt idx="0" formatCode="General">
                  <c:v>#N/A</c:v>
                </c:pt>
                <c:pt idx="1">
                  <c:v>#N/A</c:v>
                </c:pt>
                <c:pt idx="2" formatCode="General">
                  <c:v>#N/A</c:v>
                </c:pt>
              </c:numCache>
            </c:numRef>
          </c:xVal>
          <c:yVal>
            <c:numRef>
              <c:f>'RAP BLENDING'!$U$19:$U$21</c:f>
              <c:numCache>
                <c:formatCode>General</c:formatCode>
                <c:ptCount val="3"/>
                <c:pt idx="0" formatCode="0.0">
                  <c:v>#N/A</c:v>
                </c:pt>
                <c:pt idx="1">
                  <c:v>#N/A</c:v>
                </c:pt>
                <c:pt idx="2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1A-4855-8102-24049A996D74}"/>
            </c:ext>
          </c:extLst>
        </c:ser>
        <c:ser>
          <c:idx val="1"/>
          <c:order val="1"/>
          <c:spPr>
            <a:ln w="12700">
              <a:solidFill>
                <a:schemeClr val="tx1"/>
              </a:solidFill>
              <a:prstDash val="lgDash"/>
            </a:ln>
          </c:spPr>
          <c:marker>
            <c:symbol val="plus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'RAP BLENDING'!$S$25:$S$26</c:f>
            </c:numRef>
          </c:xVal>
          <c:yVal>
            <c:numRef>
              <c:f>'RAP BLENDING'!$T$25:$T$26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1A-4855-8102-24049A996D74}"/>
            </c:ext>
          </c:extLst>
        </c:ser>
        <c:ser>
          <c:idx val="3"/>
          <c:order val="2"/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'RAP BLENDING'!$U$25:$U$26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xVal>
          <c:yVal>
            <c:numRef>
              <c:f>'RAP BLENDING'!$V$25:$V$26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F1A-4855-8102-24049A996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670592"/>
        <c:axId val="326673152"/>
      </c:scatterChart>
      <c:valAx>
        <c:axId val="326670592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RPBR</a:t>
                </a:r>
              </a:p>
            </c:rich>
          </c:tx>
          <c:layout>
            <c:manualLayout>
              <c:xMode val="edge"/>
              <c:yMode val="edge"/>
              <c:x val="0.5019211471665842"/>
              <c:y val="0.93261292129278806"/>
            </c:manualLayout>
          </c:layout>
          <c:overlay val="0"/>
          <c:spPr>
            <a:solidFill>
              <a:srgbClr val="CCFFCC"/>
            </a:solidFill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6673152"/>
        <c:crossesAt val="-50"/>
        <c:crossBetween val="midCat"/>
        <c:majorUnit val="10"/>
        <c:minorUnit val="5"/>
      </c:valAx>
      <c:valAx>
        <c:axId val="326673152"/>
        <c:scaling>
          <c:orientation val="minMax"/>
          <c:max val="20"/>
          <c:min val="-5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Low Critical Temperature,</a:t>
                </a:r>
                <a:r>
                  <a:rPr lang="en-US" sz="900" b="1" baseline="0"/>
                  <a:t> C</a:t>
                </a:r>
                <a:endParaRPr lang="en-US" sz="900" b="1"/>
              </a:p>
            </c:rich>
          </c:tx>
          <c:layout>
            <c:manualLayout>
              <c:xMode val="edge"/>
              <c:yMode val="edge"/>
              <c:x val="3.7442577572269577E-2"/>
              <c:y val="0.24863255691364938"/>
            </c:manualLayout>
          </c:layout>
          <c:overlay val="0"/>
          <c:spPr>
            <a:solidFill>
              <a:srgbClr val="CCFFCC"/>
            </a:solidFill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6670592"/>
        <c:crossesAt val="0"/>
        <c:crossBetween val="midCat"/>
        <c:majorUnit val="10"/>
        <c:minorUnit val="5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68580</xdr:colOff>
      <xdr:row>0</xdr:row>
      <xdr:rowOff>30480</xdr:rowOff>
    </xdr:from>
    <xdr:to>
      <xdr:col>22</xdr:col>
      <xdr:colOff>121920</xdr:colOff>
      <xdr:row>5</xdr:row>
      <xdr:rowOff>167154</xdr:rowOff>
    </xdr:to>
    <xdr:pic>
      <xdr:nvPicPr>
        <xdr:cNvPr id="1164818" name="Picture 3" descr="U:\StoneCoLogo\ODOT1.bmp">
          <a:extLst>
            <a:ext uri="{FF2B5EF4-FFF2-40B4-BE49-F238E27FC236}">
              <a16:creationId xmlns:a16="http://schemas.microsoft.com/office/drawing/2014/main" id="{00000000-0008-0000-0300-000012C611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080" y="30480"/>
          <a:ext cx="1005840" cy="1012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458464</xdr:colOff>
      <xdr:row>0</xdr:row>
      <xdr:rowOff>28575</xdr:rowOff>
    </xdr:from>
    <xdr:to>
      <xdr:col>9</xdr:col>
      <xdr:colOff>309113</xdr:colOff>
      <xdr:row>6</xdr:row>
      <xdr:rowOff>66675</xdr:rowOff>
    </xdr:to>
    <xdr:pic>
      <xdr:nvPicPr>
        <xdr:cNvPr id="3" name="Picture 2" descr="ODOT1">
          <a:extLst>
            <a:ext uri="{FF2B5EF4-FFF2-40B4-BE49-F238E27FC236}">
              <a16:creationId xmlns:a16="http://schemas.microsoft.com/office/drawing/2014/main" id="{52D08B83-FB37-4677-B079-ADB84C3900A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381" y="28575"/>
          <a:ext cx="1099482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222251</xdr:colOff>
      <xdr:row>15</xdr:row>
      <xdr:rowOff>0</xdr:rowOff>
    </xdr:from>
    <xdr:to>
      <xdr:col>8</xdr:col>
      <xdr:colOff>221907</xdr:colOff>
      <xdr:row>38</xdr:row>
      <xdr:rowOff>132292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1FC4FE0-7B69-4633-9C46-41C61FB0E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411132</xdr:colOff>
      <xdr:row>15</xdr:row>
      <xdr:rowOff>1209</xdr:rowOff>
    </xdr:from>
    <xdr:to>
      <xdr:col>16</xdr:col>
      <xdr:colOff>392512</xdr:colOff>
      <xdr:row>38</xdr:row>
      <xdr:rowOff>133501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5C7E869-B5B1-43DF-8C42-C77446857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531221</xdr:colOff>
      <xdr:row>0</xdr:row>
      <xdr:rowOff>67490</xdr:rowOff>
    </xdr:from>
    <xdr:to>
      <xdr:col>3</xdr:col>
      <xdr:colOff>78375</xdr:colOff>
      <xdr:row>2</xdr:row>
      <xdr:rowOff>12626</xdr:rowOff>
    </xdr:to>
    <xdr:pic>
      <xdr:nvPicPr>
        <xdr:cNvPr id="17296" name="Picture 2" descr="ODOT1">
          <a:extLst>
            <a:ext uri="{FF2B5EF4-FFF2-40B4-BE49-F238E27FC236}">
              <a16:creationId xmlns:a16="http://schemas.microsoft.com/office/drawing/2014/main" id="{00000000-0008-0000-0E00-0000904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1521" y="67490"/>
          <a:ext cx="994954" cy="996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68580</xdr:colOff>
      <xdr:row>0</xdr:row>
      <xdr:rowOff>30480</xdr:rowOff>
    </xdr:from>
    <xdr:to>
      <xdr:col>22</xdr:col>
      <xdr:colOff>121920</xdr:colOff>
      <xdr:row>5</xdr:row>
      <xdr:rowOff>167154</xdr:rowOff>
    </xdr:to>
    <xdr:pic>
      <xdr:nvPicPr>
        <xdr:cNvPr id="2" name="Picture 3" descr="U:\StoneCoLogo\ODOT1.bmp">
          <a:extLst>
            <a:ext uri="{FF2B5EF4-FFF2-40B4-BE49-F238E27FC236}">
              <a16:creationId xmlns:a16="http://schemas.microsoft.com/office/drawing/2014/main" id="{E140DA94-BEC6-4E66-A23A-98B38509619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5030" y="30480"/>
          <a:ext cx="1037590" cy="1025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68580</xdr:colOff>
      <xdr:row>73</xdr:row>
      <xdr:rowOff>30480</xdr:rowOff>
    </xdr:from>
    <xdr:ext cx="1058756" cy="1036257"/>
    <xdr:pic>
      <xdr:nvPicPr>
        <xdr:cNvPr id="3" name="Picture 2" descr="U:\StoneCoLogo\ODOT1.bmp">
          <a:extLst>
            <a:ext uri="{FF2B5EF4-FFF2-40B4-BE49-F238E27FC236}">
              <a16:creationId xmlns:a16="http://schemas.microsoft.com/office/drawing/2014/main" id="{B9C74C3C-3E64-4496-9CEC-A4780C42C3E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5030" y="12628880"/>
          <a:ext cx="1058756" cy="1036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143986</xdr:colOff>
      <xdr:row>0</xdr:row>
      <xdr:rowOff>76200</xdr:rowOff>
    </xdr:from>
    <xdr:to>
      <xdr:col>23</xdr:col>
      <xdr:colOff>98266</xdr:colOff>
      <xdr:row>6</xdr:row>
      <xdr:rowOff>106680</xdr:rowOff>
    </xdr:to>
    <xdr:pic>
      <xdr:nvPicPr>
        <xdr:cNvPr id="3957513" name="Picture 3" descr="U:\StoneCoLogo\ODOT1.bmp">
          <a:extLst>
            <a:ext uri="{FF2B5EF4-FFF2-40B4-BE49-F238E27FC236}">
              <a16:creationId xmlns:a16="http://schemas.microsoft.com/office/drawing/2014/main" id="{00000000-0008-0000-0400-000009633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2486" y="76200"/>
          <a:ext cx="109728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143986</xdr:colOff>
      <xdr:row>0</xdr:row>
      <xdr:rowOff>76200</xdr:rowOff>
    </xdr:from>
    <xdr:to>
      <xdr:col>23</xdr:col>
      <xdr:colOff>98266</xdr:colOff>
      <xdr:row>6</xdr:row>
      <xdr:rowOff>100330</xdr:rowOff>
    </xdr:to>
    <xdr:pic>
      <xdr:nvPicPr>
        <xdr:cNvPr id="3" name="Picture 3" descr="U:\StoneCoLogo\ODOT1.bmp">
          <a:extLst>
            <a:ext uri="{FF2B5EF4-FFF2-40B4-BE49-F238E27FC236}">
              <a16:creationId xmlns:a16="http://schemas.microsoft.com/office/drawing/2014/main" id="{F06F1ED4-3B75-4F81-9DBE-1090E7B8FD6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0436" y="76200"/>
          <a:ext cx="1135380" cy="1090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675640</xdr:colOff>
      <xdr:row>0</xdr:row>
      <xdr:rowOff>38100</xdr:rowOff>
    </xdr:from>
    <xdr:to>
      <xdr:col>17</xdr:col>
      <xdr:colOff>59055</xdr:colOff>
      <xdr:row>6</xdr:row>
      <xdr:rowOff>27940</xdr:rowOff>
    </xdr:to>
    <xdr:pic>
      <xdr:nvPicPr>
        <xdr:cNvPr id="12944" name="Picture 6" descr="ODOT1">
          <a:extLst>
            <a:ext uri="{FF2B5EF4-FFF2-40B4-BE49-F238E27FC236}">
              <a16:creationId xmlns:a16="http://schemas.microsoft.com/office/drawing/2014/main" id="{00000000-0008-0000-0600-0000903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9640" y="38100"/>
          <a:ext cx="1018540" cy="1037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0</xdr:row>
      <xdr:rowOff>99060</xdr:rowOff>
    </xdr:from>
    <xdr:to>
      <xdr:col>5</xdr:col>
      <xdr:colOff>547794</xdr:colOff>
      <xdr:row>4</xdr:row>
      <xdr:rowOff>167640</xdr:rowOff>
    </xdr:to>
    <xdr:pic>
      <xdr:nvPicPr>
        <xdr:cNvPr id="4255916" name="Picture 2" descr="ODOT1">
          <a:extLst>
            <a:ext uri="{FF2B5EF4-FFF2-40B4-BE49-F238E27FC236}">
              <a16:creationId xmlns:a16="http://schemas.microsoft.com/office/drawing/2014/main" id="{00000000-0008-0000-0700-0000ACF04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320" y="99060"/>
          <a:ext cx="102870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495299</xdr:colOff>
      <xdr:row>0</xdr:row>
      <xdr:rowOff>99060</xdr:rowOff>
    </xdr:from>
    <xdr:to>
      <xdr:col>5</xdr:col>
      <xdr:colOff>558080</xdr:colOff>
      <xdr:row>4</xdr:row>
      <xdr:rowOff>167640</xdr:rowOff>
    </xdr:to>
    <xdr:pic>
      <xdr:nvPicPr>
        <xdr:cNvPr id="4770916" name="Picture 2" descr="ODOT1">
          <a:extLst>
            <a:ext uri="{FF2B5EF4-FFF2-40B4-BE49-F238E27FC236}">
              <a16:creationId xmlns:a16="http://schemas.microsoft.com/office/drawing/2014/main" id="{00000000-0008-0000-0800-000064CC48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99060"/>
          <a:ext cx="1033272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495299</xdr:colOff>
      <xdr:row>0</xdr:row>
      <xdr:rowOff>99060</xdr:rowOff>
    </xdr:from>
    <xdr:to>
      <xdr:col>5</xdr:col>
      <xdr:colOff>558080</xdr:colOff>
      <xdr:row>4</xdr:row>
      <xdr:rowOff>167640</xdr:rowOff>
    </xdr:to>
    <xdr:pic>
      <xdr:nvPicPr>
        <xdr:cNvPr id="4781155" name="Picture 2" descr="ODOT1">
          <a:extLst>
            <a:ext uri="{FF2B5EF4-FFF2-40B4-BE49-F238E27FC236}">
              <a16:creationId xmlns:a16="http://schemas.microsoft.com/office/drawing/2014/main" id="{00000000-0008-0000-0900-000063F448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99060"/>
          <a:ext cx="1033272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6</xdr:row>
      <xdr:rowOff>99060</xdr:rowOff>
    </xdr:from>
    <xdr:to>
      <xdr:col>12</xdr:col>
      <xdr:colOff>571500</xdr:colOff>
      <xdr:row>41</xdr:row>
      <xdr:rowOff>160020</xdr:rowOff>
    </xdr:to>
    <xdr:graphicFrame macro="">
      <xdr:nvGraphicFramePr>
        <xdr:cNvPr id="5539077" name="Chart 1">
          <a:extLst>
            <a:ext uri="{FF2B5EF4-FFF2-40B4-BE49-F238E27FC236}">
              <a16:creationId xmlns:a16="http://schemas.microsoft.com/office/drawing/2014/main" id="{00000000-0008-0000-0C00-000005855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182880</xdr:colOff>
      <xdr:row>45</xdr:row>
      <xdr:rowOff>76200</xdr:rowOff>
    </xdr:from>
    <xdr:to>
      <xdr:col>4</xdr:col>
      <xdr:colOff>259080</xdr:colOff>
      <xdr:row>46</xdr:row>
      <xdr:rowOff>106680</xdr:rowOff>
    </xdr:to>
    <xdr:sp macro="" textlink="">
      <xdr:nvSpPr>
        <xdr:cNvPr id="5539078" name="Text Box 2">
          <a:extLst>
            <a:ext uri="{FF2B5EF4-FFF2-40B4-BE49-F238E27FC236}">
              <a16:creationId xmlns:a16="http://schemas.microsoft.com/office/drawing/2014/main" id="{00000000-0008-0000-0C00-000006855400}"/>
            </a:ext>
          </a:extLst>
        </xdr:cNvPr>
        <xdr:cNvSpPr txBox="1">
          <a:spLocks noChangeArrowheads="1"/>
        </xdr:cNvSpPr>
      </xdr:nvSpPr>
      <xdr:spPr bwMode="auto">
        <a:xfrm>
          <a:off x="2766060" y="78333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274320</xdr:colOff>
      <xdr:row>40</xdr:row>
      <xdr:rowOff>7620</xdr:rowOff>
    </xdr:from>
    <xdr:to>
      <xdr:col>11</xdr:col>
      <xdr:colOff>198120</xdr:colOff>
      <xdr:row>41</xdr:row>
      <xdr:rowOff>129540</xdr:rowOff>
    </xdr:to>
    <xdr:grpSp>
      <xdr:nvGrpSpPr>
        <xdr:cNvPr id="5539079" name="Group 19">
          <a:extLst>
            <a:ext uri="{FF2B5EF4-FFF2-40B4-BE49-F238E27FC236}">
              <a16:creationId xmlns:a16="http://schemas.microsoft.com/office/drawing/2014/main" id="{00000000-0008-0000-0C00-000007855400}"/>
            </a:ext>
          </a:extLst>
        </xdr:cNvPr>
        <xdr:cNvGrpSpPr>
          <a:grpSpLocks/>
        </xdr:cNvGrpSpPr>
      </xdr:nvGrpSpPr>
      <xdr:grpSpPr bwMode="auto">
        <a:xfrm>
          <a:off x="893445" y="6675120"/>
          <a:ext cx="6265863" cy="280670"/>
          <a:chOff x="92" y="638"/>
          <a:chExt cx="642" cy="19"/>
        </a:xfrm>
      </xdr:grpSpPr>
      <xdr:sp macro="" textlink="">
        <xdr:nvSpPr>
          <xdr:cNvPr id="1027" name="Text Box 3">
            <a:extLst>
              <a:ext uri="{FF2B5EF4-FFF2-40B4-BE49-F238E27FC236}">
                <a16:creationId xmlns:a16="http://schemas.microsoft.com/office/drawing/2014/main" id="{00000000-0008-0000-0C00-000003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" y="638"/>
            <a:ext cx="1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</a:t>
            </a:r>
          </a:p>
        </xdr:txBody>
      </xdr:sp>
      <xdr:sp macro="" textlink="">
        <xdr:nvSpPr>
          <xdr:cNvPr id="1028" name="Text Box 4">
            <a:extLst>
              <a:ext uri="{FF2B5EF4-FFF2-40B4-BE49-F238E27FC236}">
                <a16:creationId xmlns:a16="http://schemas.microsoft.com/office/drawing/2014/main" id="{00000000-0008-0000-0C00-000004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6" y="638"/>
            <a:ext cx="23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100</a:t>
            </a:r>
          </a:p>
        </xdr:txBody>
      </xdr:sp>
      <xdr:sp macro="" textlink="">
        <xdr:nvSpPr>
          <xdr:cNvPr id="1029" name="Text Box 5">
            <a:extLst>
              <a:ext uri="{FF2B5EF4-FFF2-40B4-BE49-F238E27FC236}">
                <a16:creationId xmlns:a16="http://schemas.microsoft.com/office/drawing/2014/main" id="{00000000-0008-0000-0C00-000005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6" y="638"/>
            <a:ext cx="18" cy="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50</a:t>
            </a:r>
          </a:p>
        </xdr:txBody>
      </xdr:sp>
      <xdr:sp macro="" textlink="">
        <xdr:nvSpPr>
          <xdr:cNvPr id="1030" name="Text Box 6">
            <a:extLst>
              <a:ext uri="{FF2B5EF4-FFF2-40B4-BE49-F238E27FC236}">
                <a16:creationId xmlns:a16="http://schemas.microsoft.com/office/drawing/2014/main" id="{00000000-0008-0000-0C00-000006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8" y="638"/>
            <a:ext cx="13" cy="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30</a:t>
            </a:r>
          </a:p>
        </xdr:txBody>
      </xdr:sp>
      <xdr:sp macro="" textlink="">
        <xdr:nvSpPr>
          <xdr:cNvPr id="1031" name="Text Box 7">
            <a:extLst>
              <a:ext uri="{FF2B5EF4-FFF2-40B4-BE49-F238E27FC236}">
                <a16:creationId xmlns:a16="http://schemas.microsoft.com/office/drawing/2014/main" id="{00000000-0008-0000-0C00-00000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1" y="638"/>
            <a:ext cx="16" cy="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16</a:t>
            </a:r>
          </a:p>
        </xdr:txBody>
      </xdr:sp>
      <xdr:sp macro="" textlink="">
        <xdr:nvSpPr>
          <xdr:cNvPr id="1032" name="Text Box 8">
            <a:extLst>
              <a:ext uri="{FF2B5EF4-FFF2-40B4-BE49-F238E27FC236}">
                <a16:creationId xmlns:a16="http://schemas.microsoft.com/office/drawing/2014/main" id="{00000000-0008-0000-0C00-00000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4" y="638"/>
            <a:ext cx="19" cy="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#8</a:t>
            </a:r>
          </a:p>
        </xdr:txBody>
      </xdr:sp>
      <xdr:sp macro="" textlink="">
        <xdr:nvSpPr>
          <xdr:cNvPr id="1033" name="Text Box 9">
            <a:extLst>
              <a:ext uri="{FF2B5EF4-FFF2-40B4-BE49-F238E27FC236}">
                <a16:creationId xmlns:a16="http://schemas.microsoft.com/office/drawing/2014/main" id="{00000000-0008-0000-0C00-000009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3" y="638"/>
            <a:ext cx="21" cy="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#4</a:t>
            </a:r>
          </a:p>
        </xdr:txBody>
      </xdr:sp>
      <xdr:sp macro="" textlink="">
        <xdr:nvSpPr>
          <xdr:cNvPr id="1034" name="Text Box 10">
            <a:extLst>
              <a:ext uri="{FF2B5EF4-FFF2-40B4-BE49-F238E27FC236}">
                <a16:creationId xmlns:a16="http://schemas.microsoft.com/office/drawing/2014/main" id="{00000000-0008-0000-0C00-00000A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3" y="638"/>
            <a:ext cx="29" cy="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3/8"</a:t>
            </a:r>
          </a:p>
        </xdr:txBody>
      </xdr:sp>
      <xdr:sp macro="" textlink="">
        <xdr:nvSpPr>
          <xdr:cNvPr id="1035" name="Text Box 11">
            <a:extLst>
              <a:ext uri="{FF2B5EF4-FFF2-40B4-BE49-F238E27FC236}">
                <a16:creationId xmlns:a16="http://schemas.microsoft.com/office/drawing/2014/main" id="{00000000-0008-0000-0C00-00000B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644"/>
            <a:ext cx="27" cy="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1/2"</a:t>
            </a:r>
          </a:p>
        </xdr:txBody>
      </xdr:sp>
      <xdr:sp macro="" textlink="">
        <xdr:nvSpPr>
          <xdr:cNvPr id="1036" name="Text Box 12">
            <a:extLst>
              <a:ext uri="{FF2B5EF4-FFF2-40B4-BE49-F238E27FC236}">
                <a16:creationId xmlns:a16="http://schemas.microsoft.com/office/drawing/2014/main" id="{00000000-0008-0000-0C00-00000C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3" y="643"/>
            <a:ext cx="26" cy="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3/4"</a:t>
            </a:r>
          </a:p>
        </xdr:txBody>
      </xdr:sp>
      <xdr:sp macro="" textlink="">
        <xdr:nvSpPr>
          <xdr:cNvPr id="1037" name="Text Box 13">
            <a:extLst>
              <a:ext uri="{FF2B5EF4-FFF2-40B4-BE49-F238E27FC236}">
                <a16:creationId xmlns:a16="http://schemas.microsoft.com/office/drawing/2014/main" id="{00000000-0008-0000-0C00-00000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2" y="638"/>
            <a:ext cx="21" cy="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1"</a:t>
            </a:r>
          </a:p>
        </xdr:txBody>
      </xdr:sp>
      <xdr:sp macro="" textlink="">
        <xdr:nvSpPr>
          <xdr:cNvPr id="1039" name="Text Box 15">
            <a:extLst>
              <a:ext uri="{FF2B5EF4-FFF2-40B4-BE49-F238E27FC236}">
                <a16:creationId xmlns:a16="http://schemas.microsoft.com/office/drawing/2014/main" id="{00000000-0008-0000-0C00-00000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0" y="638"/>
            <a:ext cx="38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 1/2"</a:t>
            </a:r>
          </a:p>
        </xdr:txBody>
      </xdr:sp>
      <xdr:sp macro="" textlink="">
        <xdr:nvSpPr>
          <xdr:cNvPr id="1042" name="Text Box 18">
            <a:extLst>
              <a:ext uri="{FF2B5EF4-FFF2-40B4-BE49-F238E27FC236}">
                <a16:creationId xmlns:a16="http://schemas.microsoft.com/office/drawing/2014/main" id="{00000000-0008-0000-0C00-00001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2" y="638"/>
            <a:ext cx="32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2"</a:t>
            </a:r>
          </a:p>
        </xdr:txBody>
      </xdr:sp>
    </xdr:grpSp>
    <xdr:clientData/>
  </xdr:twoCellAnchor>
  <xdr:twoCellAnchor editAs="oneCell">
    <xdr:from>
      <xdr:col>5</xdr:col>
      <xdr:colOff>541020</xdr:colOff>
      <xdr:row>0</xdr:row>
      <xdr:rowOff>53340</xdr:rowOff>
    </xdr:from>
    <xdr:to>
      <xdr:col>7</xdr:col>
      <xdr:colOff>220980</xdr:colOff>
      <xdr:row>5</xdr:row>
      <xdr:rowOff>7620</xdr:rowOff>
    </xdr:to>
    <xdr:pic>
      <xdr:nvPicPr>
        <xdr:cNvPr id="5539080" name="Picture 21" descr="ODOT1">
          <a:extLst>
            <a:ext uri="{FF2B5EF4-FFF2-40B4-BE49-F238E27FC236}">
              <a16:creationId xmlns:a16="http://schemas.microsoft.com/office/drawing/2014/main" id="{00000000-0008-0000-0C00-000008855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53340"/>
          <a:ext cx="89916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0.00645</cdr:x>
      <cdr:y>0.00888</cdr:y>
    </cdr:from>
    <cdr:to>
      <cdr:x>0.09257</cdr:x>
      <cdr:y>0.09262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712714" cy="5027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Ala Abbas" id="{5458DD7C-A7E6-4487-82AA-45C42F395890}" userId="S::abbas@uakron.edu::e016cec3-5855-4349-8ee0-27897d77bf4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0" dT="2024-08-12T21:28:16.13" personId="{5458DD7C-A7E6-4487-82AA-45C42F395890}" id="{2526FB72-A4D4-4850-8C97-C0C60183A00A}">
    <text>Split into two for 301 base mixes.</text>
  </threadedComment>
  <threadedComment ref="B51" dT="2024-08-12T21:28:26.33" personId="{5458DD7C-A7E6-4487-82AA-45C42F395890}" id="{5F0E6785-74D5-4D68-B9F3-6B271FEF0EC9}">
    <text>Split into two for 301 base mixes.</text>
  </threadedComment>
  <threadedComment ref="B75" dT="2024-08-12T22:09:52.70" personId="{5458DD7C-A7E6-4487-82AA-45C42F395890}" id="{94B54B72-9E99-455D-84A6-B37B3C8B7C1F}">
    <text>Not used.</text>
  </threadedComment>
  <threadedComment ref="B79" dT="2024-08-12T21:25:11.47" personId="{5458DD7C-A7E6-4487-82AA-45C42F395890}" id="{AAABB339-4B5F-422B-9636-CB2A3986F3E1}">
    <text>Split into two for 302 base mixes.</text>
  </threadedComment>
  <threadedComment ref="B80" dT="2024-08-12T21:25:17.93" personId="{5458DD7C-A7E6-4487-82AA-45C42F395890}" id="{446B14F4-77FA-4FA4-846C-2FEC0B9C783F}">
    <text>Split into two for 302 base mixes.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1"/>
  <dimension ref="A1:O18"/>
  <sheetViews>
    <sheetView tabSelected="1" zoomScale="80" zoomScaleNormal="80" workbookViewId="0"/>
  </sheetViews>
  <sheetFormatPr defaultColWidth="8.90625" defaultRowHeight="14.4" customHeight="1" x14ac:dyDescent="0.25"/>
  <cols>
    <col min="1" max="1" width="2.81640625" style="27" customWidth="1"/>
    <col min="2" max="2" width="2.81640625" style="17" customWidth="1"/>
    <col min="3" max="4" width="2.81640625" style="27" customWidth="1"/>
    <col min="5" max="16384" width="8.90625" style="27"/>
  </cols>
  <sheetData>
    <row r="1" spans="1:15" ht="14.4" customHeight="1" x14ac:dyDescent="0.25">
      <c r="A1" s="1"/>
      <c r="B1" s="14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14.4" customHeight="1" x14ac:dyDescent="0.3">
      <c r="A2" s="1"/>
      <c r="B2" s="14"/>
      <c r="C2" s="375" t="s">
        <v>2073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4.4" customHeight="1" x14ac:dyDescent="0.3">
      <c r="A3" s="1"/>
      <c r="B3" s="14"/>
      <c r="C3" s="375" t="s">
        <v>2074</v>
      </c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4.4" customHeight="1" x14ac:dyDescent="0.25">
      <c r="A4" s="1"/>
      <c r="B4" s="14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ht="14.4" customHeight="1" x14ac:dyDescent="0.25">
      <c r="A5" s="1"/>
      <c r="B5" s="28" t="s">
        <v>141</v>
      </c>
      <c r="C5" s="29" t="s">
        <v>320</v>
      </c>
      <c r="D5" s="1"/>
      <c r="E5" s="1"/>
      <c r="F5" s="1"/>
      <c r="G5" s="16"/>
      <c r="H5" s="16"/>
      <c r="I5" s="16"/>
      <c r="J5" s="16"/>
      <c r="K5" s="16"/>
      <c r="L5" s="16"/>
      <c r="M5" s="16"/>
      <c r="N5" s="30"/>
      <c r="O5" s="35"/>
    </row>
    <row r="6" spans="1:15" ht="8" customHeight="1" x14ac:dyDescent="0.25">
      <c r="A6" s="1"/>
      <c r="B6" s="28"/>
      <c r="C6" s="29"/>
      <c r="D6" s="1"/>
      <c r="E6" s="1"/>
      <c r="F6" s="1"/>
      <c r="G6" s="16"/>
      <c r="H6" s="16"/>
      <c r="I6" s="16"/>
      <c r="J6" s="16"/>
      <c r="K6" s="16"/>
      <c r="L6" s="16"/>
      <c r="M6" s="16"/>
      <c r="N6" s="30"/>
      <c r="O6" s="35"/>
    </row>
    <row r="7" spans="1:15" ht="14.4" customHeight="1" x14ac:dyDescent="0.25">
      <c r="A7" s="1"/>
      <c r="B7" s="28"/>
      <c r="C7" s="15" t="s">
        <v>321</v>
      </c>
      <c r="D7" s="1"/>
      <c r="E7" s="1"/>
      <c r="F7" s="1"/>
      <c r="G7" s="1"/>
      <c r="H7" s="1"/>
      <c r="I7" s="1"/>
      <c r="J7" s="1"/>
      <c r="K7" s="1"/>
      <c r="L7" s="1"/>
      <c r="M7" s="1"/>
    </row>
    <row r="8" spans="1:15" ht="14.4" customHeight="1" x14ac:dyDescent="0.25">
      <c r="A8" s="1"/>
      <c r="B8" s="28"/>
      <c r="C8" s="385"/>
      <c r="D8" s="386"/>
      <c r="E8" s="13" t="s">
        <v>347</v>
      </c>
      <c r="F8" s="1"/>
      <c r="G8" s="1"/>
      <c r="H8" s="1"/>
      <c r="I8" s="1"/>
      <c r="J8" s="1"/>
      <c r="K8" s="1"/>
      <c r="L8" s="1"/>
      <c r="M8" s="1"/>
    </row>
    <row r="9" spans="1:15" ht="14.4" customHeight="1" x14ac:dyDescent="0.25">
      <c r="A9" s="1"/>
      <c r="B9" s="28"/>
      <c r="C9" s="389"/>
      <c r="D9" s="389"/>
      <c r="E9" s="13" t="s">
        <v>322</v>
      </c>
      <c r="F9" s="1"/>
      <c r="G9" s="1"/>
      <c r="H9" s="1"/>
      <c r="I9" s="1"/>
      <c r="J9" s="1"/>
      <c r="K9" s="1"/>
      <c r="L9" s="1"/>
      <c r="M9" s="1"/>
    </row>
    <row r="10" spans="1:15" ht="14.4" customHeight="1" x14ac:dyDescent="0.25">
      <c r="A10" s="1"/>
      <c r="B10" s="28"/>
      <c r="C10" s="388"/>
      <c r="D10" s="388"/>
      <c r="E10" s="13" t="s">
        <v>323</v>
      </c>
      <c r="F10" s="1"/>
      <c r="G10" s="1"/>
      <c r="H10" s="1"/>
      <c r="I10" s="1"/>
      <c r="J10" s="1"/>
      <c r="K10" s="1"/>
      <c r="L10" s="1"/>
      <c r="M10" s="1"/>
    </row>
    <row r="11" spans="1:15" ht="14.4" customHeight="1" x14ac:dyDescent="0.25">
      <c r="A11" s="1"/>
      <c r="B11" s="28"/>
      <c r="C11" s="390"/>
      <c r="D11" s="390"/>
      <c r="E11" s="13" t="s">
        <v>324</v>
      </c>
      <c r="F11" s="1"/>
      <c r="G11" s="1"/>
      <c r="H11" s="1"/>
      <c r="I11" s="1"/>
      <c r="J11" s="1"/>
      <c r="K11" s="1"/>
      <c r="L11" s="1"/>
      <c r="M11" s="1"/>
    </row>
    <row r="12" spans="1:15" ht="14.4" customHeight="1" x14ac:dyDescent="0.25">
      <c r="A12" s="1"/>
      <c r="B12" s="28"/>
      <c r="C12" s="391" t="str">
        <f>IF(AS11&gt;0,AS11,"")</f>
        <v/>
      </c>
      <c r="D12" s="391"/>
      <c r="E12" s="13" t="s">
        <v>325</v>
      </c>
      <c r="F12" s="1"/>
      <c r="G12" s="1"/>
      <c r="H12" s="1"/>
      <c r="I12" s="1"/>
      <c r="J12" s="1"/>
      <c r="K12" s="1"/>
      <c r="L12" s="1"/>
      <c r="M12" s="1"/>
    </row>
    <row r="13" spans="1:15" ht="14.4" customHeight="1" x14ac:dyDescent="0.25">
      <c r="A13" s="1"/>
      <c r="B13" s="14"/>
      <c r="C13" s="387" t="str">
        <f>IF(AS12&gt;0,AS12,"")</f>
        <v/>
      </c>
      <c r="D13" s="387"/>
      <c r="E13" s="13" t="s">
        <v>1799</v>
      </c>
      <c r="F13" s="1"/>
      <c r="G13" s="1"/>
      <c r="H13" s="1"/>
      <c r="I13" s="1"/>
      <c r="J13" s="1"/>
      <c r="K13" s="1"/>
      <c r="L13" s="1"/>
      <c r="M13" s="1"/>
    </row>
    <row r="14" spans="1:15" ht="14.4" customHeight="1" x14ac:dyDescent="0.25">
      <c r="A14" s="1"/>
      <c r="B14" s="14"/>
      <c r="C14" s="1"/>
      <c r="D14" s="1"/>
      <c r="E14" s="13" t="s">
        <v>1802</v>
      </c>
      <c r="F14" s="1"/>
      <c r="G14" s="1"/>
      <c r="H14" s="1"/>
      <c r="I14" s="1"/>
      <c r="J14" s="1"/>
      <c r="K14" s="1"/>
      <c r="L14" s="1"/>
      <c r="M14" s="1"/>
    </row>
    <row r="15" spans="1:15" ht="14.4" customHeight="1" x14ac:dyDescent="0.25">
      <c r="A15" s="1"/>
      <c r="B15" s="14"/>
      <c r="C15" s="1"/>
      <c r="D15" s="1"/>
      <c r="E15" s="13" t="s">
        <v>1803</v>
      </c>
      <c r="F15" s="1"/>
      <c r="G15" s="1"/>
      <c r="H15" s="1"/>
      <c r="I15" s="1"/>
      <c r="J15" s="1"/>
      <c r="K15" s="1"/>
      <c r="L15" s="1"/>
      <c r="M15" s="1"/>
    </row>
    <row r="16" spans="1:15" ht="14.4" customHeight="1" x14ac:dyDescent="0.25">
      <c r="A16" s="1"/>
      <c r="B16" s="14"/>
      <c r="C16" s="1"/>
      <c r="D16" s="1"/>
      <c r="E16" s="13" t="s">
        <v>1804</v>
      </c>
      <c r="F16" s="1"/>
      <c r="G16" s="1"/>
      <c r="H16" s="1"/>
      <c r="I16" s="1"/>
      <c r="J16" s="1"/>
      <c r="K16" s="1"/>
      <c r="L16" s="1"/>
      <c r="M16" s="1"/>
    </row>
    <row r="17" spans="1:13" ht="14.4" customHeight="1" x14ac:dyDescent="0.25">
      <c r="A17" s="1"/>
      <c r="B17" s="14"/>
      <c r="C17" s="1"/>
      <c r="D17" s="1"/>
      <c r="E17" s="13" t="s">
        <v>1805</v>
      </c>
      <c r="F17" s="1"/>
      <c r="G17" s="1"/>
      <c r="H17" s="1"/>
      <c r="I17" s="1"/>
      <c r="J17" s="1"/>
      <c r="K17" s="1"/>
      <c r="L17" s="1"/>
      <c r="M17" s="1"/>
    </row>
    <row r="18" spans="1:13" ht="14.4" customHeight="1" x14ac:dyDescent="0.25">
      <c r="A18" s="1"/>
      <c r="B18" s="1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</sheetData>
  <sheetProtection algorithmName="SHA-512" hashValue="fwhZfqcIzp5HC9nrRH5LMd2xLUvM+eFoj+oMkJagpCWbZ4GC0yq7655I18uzqzhL/nVx0Vk42c5wLy9L+YC0EA==" saltValue="2oPN6nxkEVu2zeL7mCkecQ==" spinCount="100000" sheet="1" objects="1" scenarios="1"/>
  <mergeCells count="6">
    <mergeCell ref="C8:D8"/>
    <mergeCell ref="C13:D13"/>
    <mergeCell ref="C10:D10"/>
    <mergeCell ref="C9:D9"/>
    <mergeCell ref="C11:D11"/>
    <mergeCell ref="C12:D12"/>
  </mergeCells>
  <printOptions horizontalCentered="1"/>
  <pageMargins left="0.5" right="0.5" top="0.5" bottom="0.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26494-D80C-43DF-823C-AF41355B8380}">
  <sheetPr>
    <pageSetUpPr fitToPage="1"/>
  </sheetPr>
  <dimension ref="A1:V51"/>
  <sheetViews>
    <sheetView zoomScale="80" zoomScaleNormal="80" zoomScaleSheetLayoutView="50" workbookViewId="0"/>
  </sheetViews>
  <sheetFormatPr defaultColWidth="8.90625" defaultRowHeight="12.5" x14ac:dyDescent="0.25"/>
  <cols>
    <col min="1" max="18" width="8.90625" style="17"/>
    <col min="19" max="21" width="10.6328125" style="161" customWidth="1"/>
    <col min="22" max="22" width="16.6328125" style="161" customWidth="1"/>
    <col min="23" max="16384" width="8.90625" style="17"/>
  </cols>
  <sheetData>
    <row r="1" spans="1:22" x14ac:dyDescent="0.25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</row>
    <row r="2" spans="1:22" x14ac:dyDescent="0.25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</row>
    <row r="3" spans="1:22" x14ac:dyDescent="0.25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</row>
    <row r="4" spans="1:22" x14ac:dyDescent="0.25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</row>
    <row r="5" spans="1:22" x14ac:dyDescent="0.25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</row>
    <row r="6" spans="1:22" x14ac:dyDescent="0.25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</row>
    <row r="7" spans="1:22" ht="6" customHeight="1" x14ac:dyDescent="0.25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</row>
    <row r="8" spans="1:22" ht="18" x14ac:dyDescent="0.25">
      <c r="A8" s="657" t="s">
        <v>102</v>
      </c>
      <c r="B8" s="657"/>
      <c r="C8" s="657"/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  <c r="Q8" s="657"/>
    </row>
    <row r="9" spans="1:22" ht="6" customHeight="1" x14ac:dyDescent="0.25">
      <c r="A9" s="149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</row>
    <row r="10" spans="1:22" ht="18" x14ac:dyDescent="0.25">
      <c r="A10" s="658" t="s">
        <v>1255</v>
      </c>
      <c r="B10" s="658"/>
      <c r="C10" s="658"/>
      <c r="D10" s="658"/>
      <c r="E10" s="658"/>
      <c r="F10" s="658"/>
      <c r="G10" s="658"/>
      <c r="H10" s="658"/>
      <c r="I10" s="658"/>
      <c r="J10" s="658"/>
      <c r="K10" s="658"/>
      <c r="L10" s="658"/>
      <c r="M10" s="658"/>
      <c r="N10" s="658"/>
      <c r="O10" s="658"/>
      <c r="P10" s="658"/>
      <c r="Q10" s="658"/>
    </row>
    <row r="11" spans="1:22" ht="13" thickBot="1" x14ac:dyDescent="0.3">
      <c r="A11" s="276"/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</row>
    <row r="12" spans="1:22" s="282" customFormat="1" ht="13" thickTop="1" x14ac:dyDescent="0.25">
      <c r="A12" s="277"/>
      <c r="B12" s="277"/>
      <c r="C12" s="278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N12" s="279"/>
      <c r="O12" s="280"/>
      <c r="P12" s="277"/>
      <c r="Q12" s="277"/>
      <c r="R12" s="27"/>
      <c r="S12" s="281"/>
      <c r="T12" s="281"/>
      <c r="U12" s="281"/>
      <c r="V12" s="281"/>
    </row>
    <row r="13" spans="1:22" s="282" customFormat="1" x14ac:dyDescent="0.25">
      <c r="A13" s="277"/>
      <c r="B13" s="277"/>
      <c r="C13" s="283"/>
      <c r="D13" s="277"/>
      <c r="E13" s="277"/>
      <c r="F13" s="284" t="s">
        <v>1810</v>
      </c>
      <c r="G13" s="100" t="s">
        <v>71</v>
      </c>
      <c r="H13" s="277"/>
      <c r="I13" s="277"/>
      <c r="J13" s="285"/>
      <c r="K13" s="284" t="s">
        <v>1259</v>
      </c>
      <c r="L13" s="682" t="str">
        <f>IF(G13="Yes",'JMF SHEET PG 1'!I32,"")</f>
        <v/>
      </c>
      <c r="M13" s="683"/>
      <c r="N13" s="277"/>
      <c r="O13" s="286"/>
      <c r="P13" s="277"/>
      <c r="Q13" s="277"/>
      <c r="R13" s="27"/>
      <c r="S13" s="287"/>
      <c r="T13" s="281"/>
      <c r="U13" s="281"/>
      <c r="V13" s="281"/>
    </row>
    <row r="14" spans="1:22" s="282" customFormat="1" ht="13" thickBot="1" x14ac:dyDescent="0.3">
      <c r="A14" s="277"/>
      <c r="B14" s="277"/>
      <c r="C14" s="288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90"/>
      <c r="P14" s="277"/>
      <c r="Q14" s="277"/>
      <c r="R14" s="27"/>
      <c r="S14" s="281"/>
      <c r="T14" s="281"/>
      <c r="U14" s="281"/>
      <c r="V14" s="281"/>
    </row>
    <row r="15" spans="1:22" s="291" customFormat="1" ht="13" thickTop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17"/>
      <c r="S15" s="161"/>
      <c r="T15" s="161"/>
      <c r="U15" s="161"/>
      <c r="V15" s="161"/>
    </row>
    <row r="16" spans="1:22" x14ac:dyDescent="0.25">
      <c r="A16" s="276"/>
      <c r="B16" s="276"/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276"/>
      <c r="Q16" s="276"/>
    </row>
    <row r="17" spans="1:22" x14ac:dyDescent="0.25">
      <c r="A17" s="276"/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6"/>
    </row>
    <row r="18" spans="1:22" x14ac:dyDescent="0.25">
      <c r="A18" s="276"/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S18" s="292"/>
      <c r="T18" s="292" t="s">
        <v>1254</v>
      </c>
      <c r="U18" s="292" t="s">
        <v>1256</v>
      </c>
      <c r="V18" s="292"/>
    </row>
    <row r="19" spans="1:22" x14ac:dyDescent="0.25">
      <c r="A19" s="276"/>
      <c r="B19" s="276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S19" s="292" t="s">
        <v>93</v>
      </c>
      <c r="T19" s="292" t="e">
        <f>IF(G13="Yes",0,#N/A)</f>
        <v>#N/A</v>
      </c>
      <c r="U19" s="293" t="e">
        <f>IF(G13="Yes",ROUND((O44-C47/100*O42)/(1-C47/100),1),#N/A)</f>
        <v>#N/A</v>
      </c>
      <c r="V19" s="292"/>
    </row>
    <row r="20" spans="1:22" x14ac:dyDescent="0.25">
      <c r="A20" s="276"/>
      <c r="B20" s="276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S20" s="292" t="s">
        <v>94</v>
      </c>
      <c r="T20" s="294" t="e">
        <f>IF(G13="Yes",'RAP BLENDING'!C47,#N/A)</f>
        <v>#N/A</v>
      </c>
      <c r="U20" s="292" t="e">
        <f>IF(G13="Yes",'RAP BLENDING'!O44,#N/A)</f>
        <v>#N/A</v>
      </c>
      <c r="V20" s="292"/>
    </row>
    <row r="21" spans="1:22" x14ac:dyDescent="0.25">
      <c r="A21" s="276"/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S21" s="292" t="s">
        <v>95</v>
      </c>
      <c r="T21" s="292" t="e">
        <f>IF(G13="Yes",100,#N/A)</f>
        <v>#N/A</v>
      </c>
      <c r="U21" s="293" t="e">
        <f>IF(G13="Yes",_xlfn.FORECAST.LINEAR(T21,U19:U20,T19:T20),#N/A)</f>
        <v>#N/A</v>
      </c>
      <c r="V21" s="292"/>
    </row>
    <row r="22" spans="1:22" x14ac:dyDescent="0.25">
      <c r="A22" s="276"/>
      <c r="B22" s="276"/>
      <c r="C22" s="276"/>
      <c r="D22" s="276"/>
      <c r="E22" s="276"/>
      <c r="F22" s="276"/>
      <c r="G22" s="276"/>
      <c r="H22" s="276"/>
      <c r="I22" s="14"/>
      <c r="J22" s="276"/>
      <c r="K22" s="276"/>
      <c r="L22" s="276"/>
      <c r="M22" s="276"/>
      <c r="N22" s="276"/>
      <c r="O22" s="276"/>
      <c r="P22" s="276"/>
      <c r="Q22" s="276"/>
      <c r="S22" s="292"/>
      <c r="T22" s="292"/>
      <c r="U22" s="292"/>
      <c r="V22" s="292"/>
    </row>
    <row r="23" spans="1:22" x14ac:dyDescent="0.25">
      <c r="A23" s="276"/>
      <c r="B23" s="276"/>
      <c r="C23" s="276"/>
      <c r="D23" s="276"/>
      <c r="E23" s="276"/>
      <c r="F23" s="276"/>
      <c r="G23" s="276"/>
      <c r="H23" s="276"/>
      <c r="I23" s="14"/>
      <c r="J23" s="276"/>
      <c r="K23" s="276"/>
      <c r="L23" s="276"/>
      <c r="M23" s="276"/>
      <c r="N23" s="276"/>
      <c r="O23" s="276"/>
      <c r="P23" s="276"/>
      <c r="Q23" s="276"/>
      <c r="S23" s="292"/>
      <c r="T23" s="292"/>
      <c r="U23" s="292"/>
      <c r="V23" s="292"/>
    </row>
    <row r="24" spans="1:22" x14ac:dyDescent="0.25">
      <c r="A24" s="276"/>
      <c r="B24" s="276"/>
      <c r="C24" s="276"/>
      <c r="D24" s="276"/>
      <c r="E24" s="276"/>
      <c r="F24" s="276"/>
      <c r="G24" s="276"/>
      <c r="H24" s="276"/>
      <c r="I24" s="14"/>
      <c r="J24" s="276"/>
      <c r="K24" s="276"/>
      <c r="L24" s="276"/>
      <c r="M24" s="276"/>
      <c r="N24" s="276"/>
      <c r="O24" s="276"/>
      <c r="P24" s="276"/>
      <c r="Q24" s="276"/>
      <c r="S24" s="292" t="s">
        <v>1254</v>
      </c>
      <c r="T24" s="292" t="s">
        <v>91</v>
      </c>
      <c r="U24" s="292" t="s">
        <v>92</v>
      </c>
      <c r="V24" s="292" t="s">
        <v>1257</v>
      </c>
    </row>
    <row r="25" spans="1:22" x14ac:dyDescent="0.25">
      <c r="A25" s="276"/>
      <c r="B25" s="276"/>
      <c r="C25" s="276"/>
      <c r="D25" s="276"/>
      <c r="E25" s="276"/>
      <c r="F25" s="276"/>
      <c r="G25" s="276"/>
      <c r="H25" s="276"/>
      <c r="I25" s="14"/>
      <c r="J25" s="276"/>
      <c r="K25" s="276"/>
      <c r="L25" s="276"/>
      <c r="M25" s="276"/>
      <c r="N25" s="276"/>
      <c r="O25" s="276"/>
      <c r="P25" s="276"/>
      <c r="Q25" s="276"/>
      <c r="S25" s="294" t="str">
        <f>'RAP BLENDING'!C47</f>
        <v/>
      </c>
      <c r="T25" s="292" t="e">
        <f>IF(G13="Yes",20,#N/A)</f>
        <v>#N/A</v>
      </c>
      <c r="U25" s="292" t="e">
        <f>IF(G13="Yes",0,#N/A)</f>
        <v>#N/A</v>
      </c>
      <c r="V25" s="292" t="e">
        <f>IF(G13="Yes",'RAP BLENDING'!O44,#N/A)</f>
        <v>#N/A</v>
      </c>
    </row>
    <row r="26" spans="1:22" x14ac:dyDescent="0.25">
      <c r="A26" s="276"/>
      <c r="B26" s="276"/>
      <c r="C26" s="276"/>
      <c r="D26" s="276"/>
      <c r="E26" s="276"/>
      <c r="F26" s="276"/>
      <c r="G26" s="276"/>
      <c r="H26" s="276"/>
      <c r="I26" s="14"/>
      <c r="J26" s="276"/>
      <c r="K26" s="276"/>
      <c r="L26" s="276"/>
      <c r="M26" s="276"/>
      <c r="N26" s="276"/>
      <c r="O26" s="276"/>
      <c r="P26" s="276"/>
      <c r="Q26" s="276"/>
      <c r="S26" s="294" t="str">
        <f>'RAP BLENDING'!C47</f>
        <v/>
      </c>
      <c r="T26" s="292" t="e">
        <f>IF(G13="Yes",-50,#N/A)</f>
        <v>#N/A</v>
      </c>
      <c r="U26" s="292" t="e">
        <f>IF(G13="Yes",100,#N/A)</f>
        <v>#N/A</v>
      </c>
      <c r="V26" s="292" t="e">
        <f>IF(G13="Yes",'RAP BLENDING'!O44,#N/A)</f>
        <v>#N/A</v>
      </c>
    </row>
    <row r="27" spans="1:22" x14ac:dyDescent="0.25">
      <c r="A27" s="276"/>
      <c r="B27" s="276"/>
      <c r="C27" s="276"/>
      <c r="D27" s="276"/>
      <c r="E27" s="276"/>
      <c r="F27" s="276"/>
      <c r="G27" s="276"/>
      <c r="H27" s="276"/>
      <c r="I27" s="14"/>
      <c r="J27" s="276"/>
      <c r="K27" s="276"/>
      <c r="L27" s="276"/>
      <c r="M27" s="276"/>
      <c r="N27" s="276"/>
      <c r="O27" s="276"/>
      <c r="P27" s="276"/>
      <c r="Q27" s="276"/>
      <c r="S27" s="292"/>
      <c r="T27" s="292"/>
      <c r="U27" s="292"/>
      <c r="V27" s="292"/>
    </row>
    <row r="28" spans="1:22" x14ac:dyDescent="0.25">
      <c r="A28" s="276"/>
      <c r="B28" s="276"/>
      <c r="C28" s="276"/>
      <c r="D28" s="276"/>
      <c r="E28" s="276"/>
      <c r="F28" s="276"/>
      <c r="G28" s="276"/>
      <c r="H28" s="276"/>
      <c r="I28" s="14"/>
      <c r="J28" s="276"/>
      <c r="K28" s="276"/>
      <c r="L28" s="276"/>
      <c r="M28" s="276"/>
      <c r="N28" s="276"/>
      <c r="O28" s="276"/>
      <c r="P28" s="276"/>
      <c r="Q28" s="276"/>
      <c r="S28" s="292"/>
      <c r="T28" s="292" t="s">
        <v>1254</v>
      </c>
      <c r="U28" s="292" t="s">
        <v>1256</v>
      </c>
      <c r="V28" s="292"/>
    </row>
    <row r="29" spans="1:22" x14ac:dyDescent="0.25">
      <c r="A29" s="276"/>
      <c r="B29" s="276"/>
      <c r="C29" s="276"/>
      <c r="D29" s="276"/>
      <c r="E29" s="276"/>
      <c r="F29" s="276"/>
      <c r="G29" s="276"/>
      <c r="H29" s="276"/>
      <c r="I29" s="14"/>
      <c r="J29" s="276"/>
      <c r="K29" s="276"/>
      <c r="L29" s="276"/>
      <c r="M29" s="276"/>
      <c r="N29" s="276"/>
      <c r="O29" s="276"/>
      <c r="P29" s="276"/>
      <c r="Q29" s="276"/>
      <c r="S29" s="292" t="s">
        <v>93</v>
      </c>
      <c r="T29" s="292" t="e">
        <f>IF(G13="Yes",0,#N/A)</f>
        <v>#N/A</v>
      </c>
      <c r="U29" s="293" t="e">
        <f>IF(G13="Yes",ROUND((K44-C47/100*K42)/(1-C47/100),1),#N/A)</f>
        <v>#N/A</v>
      </c>
      <c r="V29" s="292"/>
    </row>
    <row r="30" spans="1:22" x14ac:dyDescent="0.25">
      <c r="A30" s="276"/>
      <c r="B30" s="276"/>
      <c r="C30" s="276"/>
      <c r="D30" s="276"/>
      <c r="E30" s="276"/>
      <c r="F30" s="276"/>
      <c r="G30" s="276"/>
      <c r="H30" s="276"/>
      <c r="I30" s="14"/>
      <c r="J30" s="276"/>
      <c r="K30" s="276"/>
      <c r="L30" s="276"/>
      <c r="M30" s="276"/>
      <c r="N30" s="276"/>
      <c r="O30" s="276"/>
      <c r="P30" s="276"/>
      <c r="Q30" s="276"/>
      <c r="S30" s="292" t="s">
        <v>94</v>
      </c>
      <c r="T30" s="294" t="e">
        <f>IF(G13="Yes",'RAP BLENDING'!C47,#N/A)</f>
        <v>#N/A</v>
      </c>
      <c r="U30" s="292" t="e">
        <f>IF(G13="Yes",'RAP BLENDING'!K44,#N/A)</f>
        <v>#N/A</v>
      </c>
      <c r="V30" s="292"/>
    </row>
    <row r="31" spans="1:22" x14ac:dyDescent="0.25">
      <c r="A31" s="276"/>
      <c r="B31" s="276"/>
      <c r="C31" s="276"/>
      <c r="D31" s="276"/>
      <c r="E31" s="276"/>
      <c r="F31" s="276"/>
      <c r="G31" s="276"/>
      <c r="H31" s="276"/>
      <c r="I31" s="14"/>
      <c r="J31" s="276"/>
      <c r="K31" s="276"/>
      <c r="L31" s="276"/>
      <c r="M31" s="276"/>
      <c r="N31" s="276"/>
      <c r="O31" s="276"/>
      <c r="P31" s="276"/>
      <c r="Q31" s="276"/>
      <c r="S31" s="292" t="s">
        <v>95</v>
      </c>
      <c r="T31" s="292" t="e">
        <f>IF(G13="Yes",100,#N/A)</f>
        <v>#N/A</v>
      </c>
      <c r="U31" s="293" t="e">
        <f>IF(G13="Yes",_xlfn.FORECAST.LINEAR(T31,U29:U30,T29:T30),#N/A)</f>
        <v>#N/A</v>
      </c>
      <c r="V31" s="292"/>
    </row>
    <row r="32" spans="1:22" x14ac:dyDescent="0.25">
      <c r="A32" s="276"/>
      <c r="B32" s="276"/>
      <c r="C32" s="276"/>
      <c r="D32" s="276"/>
      <c r="E32" s="276"/>
      <c r="F32" s="276"/>
      <c r="G32" s="276"/>
      <c r="H32" s="276"/>
      <c r="I32" s="14"/>
      <c r="J32" s="276"/>
      <c r="K32" s="276"/>
      <c r="L32" s="276"/>
      <c r="M32" s="276"/>
      <c r="N32" s="276"/>
      <c r="O32" s="276"/>
      <c r="P32" s="276"/>
      <c r="Q32" s="276"/>
      <c r="S32" s="292"/>
      <c r="T32" s="292"/>
      <c r="U32" s="292"/>
      <c r="V32" s="292"/>
    </row>
    <row r="33" spans="1:22" x14ac:dyDescent="0.25">
      <c r="A33" s="276"/>
      <c r="B33" s="276"/>
      <c r="C33" s="276"/>
      <c r="D33" s="276"/>
      <c r="E33" s="276"/>
      <c r="F33" s="276"/>
      <c r="G33" s="276"/>
      <c r="H33" s="276"/>
      <c r="I33" s="14"/>
      <c r="J33" s="276"/>
      <c r="K33" s="276"/>
      <c r="L33" s="276"/>
      <c r="M33" s="276"/>
      <c r="N33" s="276"/>
      <c r="O33" s="276"/>
      <c r="P33" s="276"/>
      <c r="Q33" s="276"/>
      <c r="S33" s="292"/>
      <c r="T33" s="292"/>
      <c r="U33" s="292"/>
      <c r="V33" s="292"/>
    </row>
    <row r="34" spans="1:22" x14ac:dyDescent="0.25">
      <c r="A34" s="276"/>
      <c r="B34" s="276"/>
      <c r="C34" s="276"/>
      <c r="D34" s="276"/>
      <c r="E34" s="276"/>
      <c r="F34" s="276"/>
      <c r="G34" s="276"/>
      <c r="H34" s="276"/>
      <c r="I34" s="14"/>
      <c r="J34" s="276"/>
      <c r="K34" s="276"/>
      <c r="L34" s="276"/>
      <c r="M34" s="276"/>
      <c r="N34" s="276"/>
      <c r="O34" s="276"/>
      <c r="P34" s="276"/>
      <c r="Q34" s="276"/>
      <c r="S34" s="292" t="s">
        <v>1254</v>
      </c>
      <c r="T34" s="292" t="s">
        <v>91</v>
      </c>
      <c r="U34" s="292" t="s">
        <v>92</v>
      </c>
      <c r="V34" s="292" t="s">
        <v>1258</v>
      </c>
    </row>
    <row r="35" spans="1:22" x14ac:dyDescent="0.25">
      <c r="A35" s="276"/>
      <c r="B35" s="276"/>
      <c r="C35" s="276"/>
      <c r="D35" s="276"/>
      <c r="E35" s="276"/>
      <c r="F35" s="276"/>
      <c r="G35" s="276"/>
      <c r="H35" s="276"/>
      <c r="I35" s="14"/>
      <c r="J35" s="276"/>
      <c r="K35" s="276"/>
      <c r="L35" s="276"/>
      <c r="M35" s="276"/>
      <c r="N35" s="276"/>
      <c r="O35" s="276"/>
      <c r="P35" s="276"/>
      <c r="Q35" s="276"/>
      <c r="S35" s="294" t="str">
        <f>'RAP BLENDING'!C47</f>
        <v/>
      </c>
      <c r="T35" s="292" t="e">
        <f>IF(G13="Yes",40,#N/A)</f>
        <v>#N/A</v>
      </c>
      <c r="U35" s="292" t="e">
        <f>IF(G13="Yes",0,#N/A)</f>
        <v>#N/A</v>
      </c>
      <c r="V35" s="292" t="e">
        <f>IF(G13="Yes",'RAP BLENDING'!K44,#N/A)</f>
        <v>#N/A</v>
      </c>
    </row>
    <row r="36" spans="1:22" x14ac:dyDescent="0.25">
      <c r="A36" s="276"/>
      <c r="B36" s="276"/>
      <c r="C36" s="276"/>
      <c r="D36" s="276"/>
      <c r="E36" s="276"/>
      <c r="F36" s="276"/>
      <c r="G36" s="276"/>
      <c r="H36" s="276"/>
      <c r="I36" s="14"/>
      <c r="J36" s="276"/>
      <c r="K36" s="276"/>
      <c r="L36" s="276"/>
      <c r="M36" s="276"/>
      <c r="N36" s="276"/>
      <c r="O36" s="276"/>
      <c r="P36" s="276"/>
      <c r="Q36" s="276"/>
      <c r="S36" s="294" t="str">
        <f>'RAP BLENDING'!C47</f>
        <v/>
      </c>
      <c r="T36" s="292" t="e">
        <f>IF(G13="Yes",110,#N/A)</f>
        <v>#N/A</v>
      </c>
      <c r="U36" s="292" t="e">
        <f>IF(G13="Yes",100,#N/A)</f>
        <v>#N/A</v>
      </c>
      <c r="V36" s="292" t="e">
        <f>IF(G13="Yes",'RAP BLENDING'!K44,#N/A)</f>
        <v>#N/A</v>
      </c>
    </row>
    <row r="37" spans="1:22" x14ac:dyDescent="0.25">
      <c r="A37" s="276"/>
      <c r="B37" s="276"/>
      <c r="C37" s="276"/>
      <c r="D37" s="276"/>
      <c r="E37" s="276"/>
      <c r="F37" s="276"/>
      <c r="G37" s="276"/>
      <c r="H37" s="276"/>
      <c r="I37" s="14"/>
      <c r="J37" s="276"/>
      <c r="K37" s="276"/>
      <c r="L37" s="276"/>
      <c r="M37" s="276"/>
      <c r="N37" s="276"/>
      <c r="O37" s="276"/>
      <c r="P37" s="276"/>
      <c r="Q37" s="276"/>
    </row>
    <row r="38" spans="1:22" s="291" customFormat="1" x14ac:dyDescent="0.25">
      <c r="A38" s="276"/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17"/>
      <c r="S38" s="161"/>
      <c r="T38" s="161"/>
      <c r="U38" s="161"/>
      <c r="V38" s="161"/>
    </row>
    <row r="39" spans="1:22" s="291" customFormat="1" x14ac:dyDescent="0.25">
      <c r="A39" s="276"/>
      <c r="B39" s="276"/>
      <c r="C39" s="276"/>
      <c r="D39" s="276"/>
      <c r="E39" s="276"/>
      <c r="F39" s="276"/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276"/>
      <c r="R39" s="17"/>
      <c r="S39" s="161"/>
      <c r="T39" s="161"/>
      <c r="U39" s="161"/>
      <c r="V39" s="161"/>
    </row>
    <row r="40" spans="1:22" s="291" customFormat="1" ht="13" thickBot="1" x14ac:dyDescent="0.3">
      <c r="A40" s="276"/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17"/>
      <c r="S40" s="161"/>
      <c r="T40" s="161"/>
      <c r="U40" s="161"/>
      <c r="V40" s="161"/>
    </row>
    <row r="41" spans="1:22" s="291" customFormat="1" ht="12.5" customHeight="1" thickTop="1" x14ac:dyDescent="0.25">
      <c r="A41" s="5"/>
      <c r="B41" s="295" t="s">
        <v>1260</v>
      </c>
      <c r="C41" s="296" t="str">
        <f>IF(G13="Yes",IF('JMF SHEET PG 1'!L28&gt;0,'JMF SHEET PG 1'!L28,""),"")</f>
        <v/>
      </c>
      <c r="D41" s="5"/>
      <c r="E41" s="297"/>
      <c r="F41" s="298"/>
      <c r="G41" s="298"/>
      <c r="H41" s="298"/>
      <c r="I41" s="298"/>
      <c r="J41" s="298"/>
      <c r="K41" s="298"/>
      <c r="L41" s="298"/>
      <c r="M41" s="298"/>
      <c r="N41" s="298"/>
      <c r="O41" s="298"/>
      <c r="P41" s="299"/>
      <c r="Q41" s="5"/>
      <c r="R41" s="17"/>
      <c r="S41" s="161"/>
      <c r="T41" s="161"/>
      <c r="U41" s="161"/>
    </row>
    <row r="42" spans="1:22" s="291" customFormat="1" ht="12.5" customHeight="1" x14ac:dyDescent="0.25">
      <c r="A42" s="5"/>
      <c r="B42" s="300"/>
      <c r="C42" s="300"/>
      <c r="D42" s="5"/>
      <c r="E42" s="301" t="s">
        <v>2065</v>
      </c>
      <c r="F42" s="300"/>
      <c r="G42" s="300"/>
      <c r="H42" s="300"/>
      <c r="I42" s="5"/>
      <c r="J42" s="302" t="s">
        <v>2067</v>
      </c>
      <c r="K42" s="303" t="str">
        <f>IF(G13="Yes",IF('JMF SHEET PG 2'!A34+'JMF SHEET PG 2'!A35+'JMF SHEET PG 2'!A36&gt;0,('JMF SHEET PG 2'!A34*IF('JMF SHEET PG 2'!A34&gt;0,'RAP 1'!H45,0)+'JMF SHEET PG 2'!A35*IF('JMF SHEET PG 2'!A34&gt;0,'RAP 2'!H45,0)+'JMF SHEET PG 2'!A36*IF('JMF SHEET PG 2'!A34&gt;0,'RAP 3'!H45,0))/('JMF SHEET PG 2'!A34+'JMF SHEET PG 2'!A35+'JMF SHEET PG 2'!A36),""),"")</f>
        <v/>
      </c>
      <c r="L42" s="300"/>
      <c r="M42" s="300"/>
      <c r="N42" s="302" t="s">
        <v>1264</v>
      </c>
      <c r="O42" s="303" t="str">
        <f>IF(G13="Yes",IF('JMF SHEET PG 2'!A34+'JMF SHEET PG 2'!A35+'JMF SHEET PG 2'!A36&gt;0,('JMF SHEET PG 2'!A34*IF('JMF SHEET PG 2'!A34&gt;0,MAX('RAP 1'!H49,'RAP 1'!H51),0)+'JMF SHEET PG 2'!A35*IF('JMF SHEET PG 2'!A34&gt;0,MAX('RAP 2'!H49,'RAP 2'!H51),0)+'JMF SHEET PG 2'!A36*IF('JMF SHEET PG 2'!A34&gt;0,MAX('RAP 3'!H49,'RAP 3'!H51),0))/('JMF SHEET PG 2'!A34+'JMF SHEET PG 2'!A35+'JMF SHEET PG 2'!A36),""),"")</f>
        <v/>
      </c>
      <c r="P42" s="304"/>
      <c r="Q42" s="5"/>
      <c r="R42" s="17"/>
      <c r="S42" s="161"/>
      <c r="T42" s="161"/>
      <c r="U42" s="161"/>
    </row>
    <row r="43" spans="1:22" s="291" customFormat="1" ht="12.5" customHeight="1" x14ac:dyDescent="0.25">
      <c r="A43" s="5"/>
      <c r="B43" s="295" t="s">
        <v>1261</v>
      </c>
      <c r="C43" s="305" t="str">
        <f>IF(G13="Yes",IF('JMF SHEET PG 2'!A34+'JMF SHEET PG 2'!A35+'JMF SHEET PG 2'!A36&gt;0,'JMF SHEET PG 2'!A34+'JMF SHEET PG 2'!A35+'JMF SHEET PG 2'!A36,""),"")</f>
        <v/>
      </c>
      <c r="D43" s="5"/>
      <c r="E43" s="306"/>
      <c r="F43" s="300"/>
      <c r="G43" s="300"/>
      <c r="H43" s="300"/>
      <c r="I43" s="300"/>
      <c r="J43" s="300"/>
      <c r="K43" s="300"/>
      <c r="L43" s="300"/>
      <c r="M43" s="300"/>
      <c r="N43" s="5"/>
      <c r="O43" s="5"/>
      <c r="P43" s="304"/>
      <c r="Q43" s="5"/>
      <c r="R43" s="17"/>
      <c r="S43" s="161"/>
      <c r="T43" s="161"/>
      <c r="U43" s="161"/>
    </row>
    <row r="44" spans="1:22" s="291" customFormat="1" ht="12.5" customHeight="1" x14ac:dyDescent="0.25">
      <c r="A44" s="5"/>
      <c r="B44" s="300"/>
      <c r="C44" s="300"/>
      <c r="D44" s="5"/>
      <c r="E44" s="301" t="s">
        <v>2066</v>
      </c>
      <c r="F44" s="300"/>
      <c r="G44" s="300"/>
      <c r="H44" s="300"/>
      <c r="I44" s="300"/>
      <c r="J44" s="302" t="s">
        <v>2067</v>
      </c>
      <c r="K44" s="303" t="str">
        <f>IF(L13&lt;&gt;"",VALUE(MID(L13,4,2)),"")</f>
        <v/>
      </c>
      <c r="L44" s="5"/>
      <c r="M44" s="300"/>
      <c r="N44" s="302" t="s">
        <v>1264</v>
      </c>
      <c r="O44" s="303" t="str">
        <f>IF(L13&lt;&gt;"",VALUE(MID(L13,6,3)),"")</f>
        <v/>
      </c>
      <c r="P44" s="304"/>
      <c r="Q44" s="5"/>
      <c r="R44" s="17"/>
      <c r="S44" s="161"/>
      <c r="T44" s="161"/>
      <c r="U44" s="161"/>
    </row>
    <row r="45" spans="1:22" s="291" customFormat="1" ht="12.5" customHeight="1" x14ac:dyDescent="0.25">
      <c r="A45" s="5"/>
      <c r="B45" s="295" t="s">
        <v>1262</v>
      </c>
      <c r="C45" s="305" t="str">
        <f>IF(G13="Yes",IF('JMF SHEET PG 2'!A34+'JMF SHEET PG 2'!A35+'JMF SHEET PG 2'!A36&gt;0,('JMF SHEET PG 2'!A34*'JMF SHEET PG 2'!D34+'JMF SHEET PG 2'!A35*'JMF SHEET PG 2'!D35+'JMF SHEET PG 2'!A36*'JMF SHEET PG 2'!D36)/('JMF SHEET PG 2'!A34+'JMF SHEET PG 2'!A35+'JMF SHEET PG 2'!A36),""),"")</f>
        <v/>
      </c>
      <c r="D45" s="5"/>
      <c r="E45" s="306"/>
      <c r="F45" s="300"/>
      <c r="G45" s="300"/>
      <c r="H45" s="300"/>
      <c r="I45" s="300"/>
      <c r="J45" s="300"/>
      <c r="K45" s="300"/>
      <c r="L45" s="5"/>
      <c r="M45" s="300"/>
      <c r="N45" s="5"/>
      <c r="O45" s="5"/>
      <c r="P45" s="304"/>
      <c r="Q45" s="5"/>
      <c r="R45" s="17"/>
      <c r="S45" s="161"/>
      <c r="T45" s="161"/>
      <c r="U45" s="161"/>
    </row>
    <row r="46" spans="1:22" s="291" customFormat="1" ht="12.5" customHeight="1" x14ac:dyDescent="0.25">
      <c r="A46" s="5"/>
      <c r="B46" s="300"/>
      <c r="C46" s="300"/>
      <c r="D46" s="5"/>
      <c r="E46" s="306"/>
      <c r="F46" s="300"/>
      <c r="G46" s="300"/>
      <c r="H46" s="300"/>
      <c r="I46" s="300"/>
      <c r="J46" s="300"/>
      <c r="K46" s="295" t="s">
        <v>1320</v>
      </c>
      <c r="L46" s="684" t="str">
        <f>IF(G13="Yes",IF(ROUND((O44-C47/100*O42)/(1-C47/100),1)&lt;=-25,"Use PG 58-28 or PG 64-28","Use PG "&amp;K44&amp;O44),"")</f>
        <v/>
      </c>
      <c r="M46" s="684"/>
      <c r="N46" s="684"/>
      <c r="O46" s="5"/>
      <c r="P46" s="304"/>
      <c r="Q46" s="5"/>
      <c r="R46" s="17"/>
      <c r="S46" s="161"/>
      <c r="T46" s="161"/>
      <c r="U46" s="161"/>
      <c r="V46" s="161"/>
    </row>
    <row r="47" spans="1:22" s="291" customFormat="1" ht="12.5" customHeight="1" thickBot="1" x14ac:dyDescent="0.3">
      <c r="A47" s="5"/>
      <c r="B47" s="295" t="s">
        <v>1263</v>
      </c>
      <c r="C47" s="307" t="str">
        <f>IF(G13="Yes",(((C45*(C43)))/C41),"")</f>
        <v/>
      </c>
      <c r="D47" s="5"/>
      <c r="E47" s="308"/>
      <c r="F47" s="309"/>
      <c r="G47" s="309"/>
      <c r="H47" s="309"/>
      <c r="I47" s="309"/>
      <c r="J47" s="309"/>
      <c r="K47" s="309"/>
      <c r="L47" s="309"/>
      <c r="M47" s="309"/>
      <c r="N47" s="309"/>
      <c r="O47" s="309"/>
      <c r="P47" s="310"/>
      <c r="Q47" s="5"/>
      <c r="R47" s="17"/>
      <c r="S47" s="161"/>
      <c r="T47" s="161"/>
      <c r="U47" s="161"/>
      <c r="V47" s="161"/>
    </row>
    <row r="48" spans="1:22" s="291" customFormat="1" ht="13" thickTop="1" x14ac:dyDescent="0.25">
      <c r="A48" s="5"/>
      <c r="B48" s="300"/>
      <c r="C48" s="5"/>
      <c r="D48" s="300"/>
      <c r="E48" s="300"/>
      <c r="F48" s="300"/>
      <c r="G48" s="300"/>
      <c r="H48" s="300"/>
      <c r="I48" s="300"/>
      <c r="J48" s="300"/>
      <c r="K48" s="300"/>
      <c r="L48" s="300"/>
      <c r="M48" s="300"/>
      <c r="N48" s="5"/>
      <c r="O48" s="5"/>
      <c r="P48" s="5"/>
      <c r="Q48" s="5"/>
      <c r="R48" s="17"/>
      <c r="S48" s="161"/>
      <c r="T48" s="161"/>
      <c r="U48" s="161"/>
      <c r="V48" s="161"/>
    </row>
    <row r="49" spans="1:17" ht="13.25" customHeigh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311"/>
      <c r="L49" s="311"/>
      <c r="M49" s="311"/>
      <c r="N49" s="311"/>
      <c r="O49" s="311"/>
      <c r="P49" s="311"/>
      <c r="Q49" s="311" t="str">
        <f>'TRANS. COV.'!AO73</f>
        <v>Ver 0.1</v>
      </c>
    </row>
    <row r="50" spans="1:17" ht="13.25" customHeight="1" x14ac:dyDescent="0.25">
      <c r="J50" s="151"/>
      <c r="K50" s="151"/>
      <c r="L50" s="151"/>
      <c r="M50" s="151"/>
      <c r="N50" s="151"/>
      <c r="O50" s="151"/>
      <c r="P50" s="151"/>
      <c r="Q50" s="151"/>
    </row>
    <row r="51" spans="1:17" ht="13" x14ac:dyDescent="0.25">
      <c r="A51" s="268"/>
    </row>
  </sheetData>
  <sheetProtection algorithmName="SHA-512" hashValue="wpZRakU5Bj6jVH8TOGZR3Mytz7sEUYYS/poXXPPgGtisNZ5WYLKQi0keaVLAtyQO0hbW8Wcg56JvkddWV8zHWg==" saltValue="SeaOuzGzx6LrDCcnz8SUDA==" spinCount="100000" sheet="1" objects="1" scenarios="1"/>
  <mergeCells count="4">
    <mergeCell ref="A10:Q10"/>
    <mergeCell ref="A8:Q8"/>
    <mergeCell ref="L13:M13"/>
    <mergeCell ref="L46:N46"/>
  </mergeCells>
  <dataValidations count="1">
    <dataValidation type="list" allowBlank="1" showInputMessage="1" showErrorMessage="1" sqref="G13" xr:uid="{209AD481-A99D-4E1A-889B-90C9D7B84C02}">
      <formula1>"No,Yes"</formula1>
    </dataValidation>
  </dataValidations>
  <printOptions horizontalCentered="1"/>
  <pageMargins left="0.5" right="0.5" top="0.5" bottom="0.5" header="0.3" footer="0.3"/>
  <pageSetup scale="85" fitToHeight="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I218"/>
  <sheetViews>
    <sheetView zoomScale="80" zoomScaleNormal="80" zoomScaleSheetLayoutView="70" workbookViewId="0"/>
  </sheetViews>
  <sheetFormatPr defaultColWidth="11" defaultRowHeight="12.5" x14ac:dyDescent="0.25"/>
  <cols>
    <col min="1" max="1" width="35" style="151" customWidth="1"/>
    <col min="2" max="5" width="10.54296875" style="151" customWidth="1"/>
    <col min="6" max="6" width="9" style="151" customWidth="1"/>
    <col min="7" max="7" width="8.90625" style="151" customWidth="1"/>
    <col min="8" max="16384" width="11" style="151"/>
  </cols>
  <sheetData>
    <row r="1" spans="1:9" ht="18.75" customHeight="1" x14ac:dyDescent="0.25">
      <c r="A1" s="149"/>
      <c r="B1" s="149"/>
      <c r="C1" s="149"/>
      <c r="D1" s="149"/>
      <c r="E1" s="149"/>
      <c r="F1" s="149"/>
      <c r="G1" s="149"/>
    </row>
    <row r="2" spans="1:9" ht="64.5" customHeight="1" x14ac:dyDescent="0.25">
      <c r="A2" s="149"/>
      <c r="B2" s="149"/>
      <c r="C2" s="149"/>
      <c r="D2" s="149"/>
      <c r="E2" s="149"/>
      <c r="F2" s="312"/>
      <c r="G2" s="149"/>
    </row>
    <row r="3" spans="1:9" ht="18.75" customHeight="1" x14ac:dyDescent="0.25">
      <c r="A3" s="657" t="s">
        <v>102</v>
      </c>
      <c r="B3" s="657"/>
      <c r="C3" s="657"/>
      <c r="D3" s="657"/>
      <c r="E3" s="657"/>
      <c r="F3" s="657"/>
      <c r="G3" s="657"/>
    </row>
    <row r="4" spans="1:9" ht="16" customHeight="1" thickBot="1" x14ac:dyDescent="0.3">
      <c r="A4" s="116"/>
      <c r="B4" s="116"/>
      <c r="C4" s="116"/>
      <c r="D4" s="116"/>
      <c r="E4" s="116"/>
      <c r="F4" s="116"/>
      <c r="G4" s="116"/>
    </row>
    <row r="5" spans="1:9" ht="12.75" customHeight="1" thickBot="1" x14ac:dyDescent="0.3">
      <c r="A5" s="687" t="s">
        <v>136</v>
      </c>
      <c r="B5" s="688"/>
      <c r="C5" s="688"/>
      <c r="D5" s="688"/>
      <c r="E5" s="688"/>
      <c r="F5" s="688"/>
      <c r="G5" s="689"/>
    </row>
    <row r="6" spans="1:9" ht="12.75" customHeight="1" x14ac:dyDescent="0.25">
      <c r="A6" s="690" t="s">
        <v>1247</v>
      </c>
      <c r="B6" s="691"/>
      <c r="C6" s="691"/>
      <c r="D6" s="691"/>
      <c r="E6" s="691"/>
      <c r="F6" s="691"/>
      <c r="G6" s="692"/>
    </row>
    <row r="7" spans="1:9" ht="3.75" customHeight="1" x14ac:dyDescent="0.25">
      <c r="A7" s="313"/>
      <c r="B7" s="149"/>
      <c r="C7" s="149"/>
      <c r="D7" s="149"/>
      <c r="E7" s="149"/>
      <c r="F7" s="149"/>
      <c r="G7" s="221"/>
    </row>
    <row r="8" spans="1:9" ht="12.75" customHeight="1" x14ac:dyDescent="0.25">
      <c r="A8" s="313"/>
      <c r="B8" s="693" t="s">
        <v>316</v>
      </c>
      <c r="C8" s="694"/>
      <c r="D8" s="693" t="s">
        <v>317</v>
      </c>
      <c r="E8" s="694"/>
      <c r="F8" s="693" t="s">
        <v>318</v>
      </c>
      <c r="G8" s="695"/>
    </row>
    <row r="9" spans="1:9" ht="12.75" customHeight="1" x14ac:dyDescent="0.25">
      <c r="A9" s="314" t="s">
        <v>96</v>
      </c>
      <c r="B9" s="296">
        <f>IF('AGG BLEND'!U21&gt;0,'RAP 1'!H28,"")</f>
        <v>5.4</v>
      </c>
      <c r="C9" s="296">
        <f>IF(C10&gt;0,B9,"")</f>
        <v>5.4</v>
      </c>
      <c r="D9" s="296" t="str">
        <f>IF('AGG BLEND'!W21&gt;0,'RAP 2'!H28,"")</f>
        <v/>
      </c>
      <c r="E9" s="296" t="str">
        <f>IF(E10&gt;0,D9,"")</f>
        <v/>
      </c>
      <c r="F9" s="296" t="str">
        <f>IF('AGG BLEND'!Y21&gt;0,'RAP 3'!H28,"")</f>
        <v/>
      </c>
      <c r="G9" s="315" t="str">
        <f>IF(G10&gt;0,F9,"")</f>
        <v/>
      </c>
      <c r="H9" s="117"/>
    </row>
    <row r="10" spans="1:9" ht="12.75" customHeight="1" x14ac:dyDescent="0.25">
      <c r="A10" s="314" t="s">
        <v>51</v>
      </c>
      <c r="B10" s="95">
        <v>2203.6</v>
      </c>
      <c r="C10" s="95">
        <v>2591.8000000000002</v>
      </c>
      <c r="D10" s="95"/>
      <c r="E10" s="95"/>
      <c r="F10" s="95"/>
      <c r="G10" s="96"/>
      <c r="H10" s="117"/>
    </row>
    <row r="11" spans="1:9" ht="12.75" customHeight="1" x14ac:dyDescent="0.25">
      <c r="A11" s="314" t="s">
        <v>52</v>
      </c>
      <c r="B11" s="95">
        <v>2203.6</v>
      </c>
      <c r="C11" s="95">
        <v>2591.8000000000002</v>
      </c>
      <c r="D11" s="95"/>
      <c r="E11" s="95"/>
      <c r="F11" s="95"/>
      <c r="G11" s="96"/>
      <c r="H11" s="117"/>
    </row>
    <row r="12" spans="1:9" ht="12.75" customHeight="1" x14ac:dyDescent="0.25">
      <c r="A12" s="314" t="s">
        <v>53</v>
      </c>
      <c r="B12" s="89">
        <v>2831.5</v>
      </c>
      <c r="C12" s="89">
        <v>3069.8</v>
      </c>
      <c r="D12" s="89"/>
      <c r="E12" s="89"/>
      <c r="F12" s="89"/>
      <c r="G12" s="90"/>
    </row>
    <row r="13" spans="1:9" ht="12.75" customHeight="1" x14ac:dyDescent="0.25">
      <c r="A13" s="314" t="s">
        <v>54</v>
      </c>
      <c r="B13" s="97">
        <v>1513</v>
      </c>
      <c r="C13" s="97">
        <v>1513</v>
      </c>
      <c r="D13" s="97"/>
      <c r="E13" s="97"/>
      <c r="F13" s="97"/>
      <c r="G13" s="98"/>
    </row>
    <row r="14" spans="1:9" ht="12.75" customHeight="1" x14ac:dyDescent="0.25">
      <c r="A14" s="314" t="s">
        <v>55</v>
      </c>
      <c r="B14" s="316">
        <f>IF(B10&gt;0,B12-B13,"")</f>
        <v>1318.5</v>
      </c>
      <c r="C14" s="316">
        <f t="shared" ref="C14" si="0">IF(C10&gt;0,C12-C13,"")</f>
        <v>1556.8000000000002</v>
      </c>
      <c r="D14" s="316" t="str">
        <f>IF(D10&gt;0,D12-D13,"")</f>
        <v/>
      </c>
      <c r="E14" s="316" t="str">
        <f t="shared" ref="E14" si="1">IF(E10&gt;0,E12-E13,"")</f>
        <v/>
      </c>
      <c r="F14" s="316" t="str">
        <f>IF(F10&gt;0,F12-F13,"")</f>
        <v/>
      </c>
      <c r="G14" s="317" t="str">
        <f>IF(G10&gt;0,G12-G13,"")</f>
        <v/>
      </c>
      <c r="I14" s="102"/>
    </row>
    <row r="15" spans="1:9" ht="12.75" customHeight="1" x14ac:dyDescent="0.25">
      <c r="A15" s="314" t="s">
        <v>105</v>
      </c>
      <c r="B15" s="318">
        <f>IF(B11&gt;0,B11-B14,IF(B10&gt;0,B10-B14,""))</f>
        <v>885.09999999999991</v>
      </c>
      <c r="C15" s="318">
        <f t="shared" ref="C15" si="2">IF(C11&gt;0,C11-C14,IF(C10&gt;0,C10-C14,""))</f>
        <v>1035</v>
      </c>
      <c r="D15" s="318" t="str">
        <f>IF(D11&gt;0,D11-D14,IF(D10&gt;0,D10-D14,""))</f>
        <v/>
      </c>
      <c r="E15" s="318" t="str">
        <f t="shared" ref="E15" si="3">IF(E11&gt;0,E11-E14,IF(E10&gt;0,E10-E14,""))</f>
        <v/>
      </c>
      <c r="F15" s="318" t="str">
        <f>IF(F11&gt;0,F11-F14,IF(F10&gt;0,F10-F14,""))</f>
        <v/>
      </c>
      <c r="G15" s="319" t="str">
        <f t="shared" ref="G15" si="4">IF(G11&gt;0,G11-G14,IF(G10&gt;0,G10-G14,""))</f>
        <v/>
      </c>
      <c r="I15" s="102"/>
    </row>
    <row r="16" spans="1:9" ht="12.75" customHeight="1" x14ac:dyDescent="0.25">
      <c r="A16" s="314" t="s">
        <v>97</v>
      </c>
      <c r="B16" s="320">
        <f>IF(B10&gt;0,B10/B15,"")</f>
        <v>2.489662185063835</v>
      </c>
      <c r="C16" s="320">
        <f t="shared" ref="C16" si="5">IF(C10&gt;0,C10/C15,"")</f>
        <v>2.5041545893719808</v>
      </c>
      <c r="D16" s="320" t="str">
        <f>IF(D10&gt;0,D10/D15,"")</f>
        <v/>
      </c>
      <c r="E16" s="320" t="str">
        <f t="shared" ref="E16" si="6">IF(E10&gt;0,E10/E15,"")</f>
        <v/>
      </c>
      <c r="F16" s="320" t="str">
        <f>IF(F10&gt;0,F10/F15,"")</f>
        <v/>
      </c>
      <c r="G16" s="321" t="str">
        <f t="shared" ref="G16" si="7">IF(G10&gt;0,G10/G15,"")</f>
        <v/>
      </c>
    </row>
    <row r="17" spans="1:7" ht="12.75" customHeight="1" x14ac:dyDescent="0.25">
      <c r="A17" s="322" t="s">
        <v>1246</v>
      </c>
      <c r="B17" s="696">
        <f>IFERROR('RAP 1'!H28,0)</f>
        <v>5.4</v>
      </c>
      <c r="C17" s="696"/>
      <c r="D17" s="696">
        <f>IFERROR('RAP 2'!H28,0)</f>
        <v>0</v>
      </c>
      <c r="E17" s="696"/>
      <c r="F17" s="696">
        <f>IFERROR('RAP 3'!H28,0)</f>
        <v>0</v>
      </c>
      <c r="G17" s="697"/>
    </row>
    <row r="18" spans="1:7" ht="12.75" customHeight="1" x14ac:dyDescent="0.25">
      <c r="A18" s="322" t="s">
        <v>1250</v>
      </c>
      <c r="B18" s="700">
        <f>IFERROR('RAP 1'!H32,0)</f>
        <v>1.0509999999999999</v>
      </c>
      <c r="C18" s="700"/>
      <c r="D18" s="700">
        <f>IFERROR('RAP 2'!H32,0)</f>
        <v>0</v>
      </c>
      <c r="E18" s="700"/>
      <c r="F18" s="700">
        <f>IFERROR('RAP 3'!H32,0)</f>
        <v>0</v>
      </c>
      <c r="G18" s="701"/>
    </row>
    <row r="19" spans="1:7" ht="12.75" customHeight="1" x14ac:dyDescent="0.25">
      <c r="A19" s="322" t="s">
        <v>1249</v>
      </c>
      <c r="B19" s="702">
        <f>IFERROR(AVERAGE(B16:C16),0)</f>
        <v>2.4969083872179079</v>
      </c>
      <c r="C19" s="702"/>
      <c r="D19" s="702">
        <f>IFERROR(AVERAGE(D16:E16),0)</f>
        <v>0</v>
      </c>
      <c r="E19" s="702"/>
      <c r="F19" s="702">
        <f>IFERROR(AVERAGE(F16:G16),0)</f>
        <v>0</v>
      </c>
      <c r="G19" s="703"/>
    </row>
    <row r="20" spans="1:7" ht="12.75" customHeight="1" x14ac:dyDescent="0.25">
      <c r="A20" s="323" t="s">
        <v>1248</v>
      </c>
      <c r="B20" s="698">
        <f>IFERROR(((100-B17)/((100/B19)-(B17/B18))),0)</f>
        <v>2.7097039292265053</v>
      </c>
      <c r="C20" s="698"/>
      <c r="D20" s="698">
        <f>IFERROR(((100-D17)/((100/D19)-(D17/D18))),0)</f>
        <v>0</v>
      </c>
      <c r="E20" s="698"/>
      <c r="F20" s="698">
        <f>IFERROR(((100-F17)/((100/F19)-(F17/F18))),0)</f>
        <v>0</v>
      </c>
      <c r="G20" s="699"/>
    </row>
    <row r="21" spans="1:7" ht="12.75" customHeight="1" thickBot="1" x14ac:dyDescent="0.3">
      <c r="A21" s="324"/>
      <c r="B21" s="325"/>
      <c r="C21" s="326"/>
      <c r="D21" s="326"/>
      <c r="E21" s="326"/>
      <c r="F21" s="326"/>
      <c r="G21" s="327"/>
    </row>
    <row r="22" spans="1:7" ht="3.75" customHeight="1" x14ac:dyDescent="0.25">
      <c r="A22" s="149"/>
      <c r="B22" s="328"/>
      <c r="C22" s="149"/>
      <c r="D22" s="149"/>
      <c r="E22" s="149"/>
      <c r="F22" s="149"/>
      <c r="G22" s="149"/>
    </row>
    <row r="23" spans="1:7" ht="3.75" customHeight="1" thickBot="1" x14ac:dyDescent="0.3">
      <c r="A23" s="149"/>
      <c r="B23" s="328"/>
      <c r="C23" s="149"/>
      <c r="D23" s="149"/>
      <c r="E23" s="149"/>
      <c r="F23" s="149"/>
      <c r="G23" s="149"/>
    </row>
    <row r="24" spans="1:7" ht="13.25" customHeight="1" x14ac:dyDescent="0.25">
      <c r="A24" s="687" t="s">
        <v>1910</v>
      </c>
      <c r="B24" s="688"/>
      <c r="C24" s="688"/>
      <c r="D24" s="688"/>
      <c r="E24" s="688"/>
      <c r="F24" s="688"/>
      <c r="G24" s="689"/>
    </row>
    <row r="25" spans="1:7" ht="13.25" customHeight="1" x14ac:dyDescent="0.25">
      <c r="A25" s="329" t="s">
        <v>126</v>
      </c>
      <c r="B25" s="330" t="s">
        <v>50</v>
      </c>
      <c r="C25" s="330" t="s">
        <v>23</v>
      </c>
      <c r="D25" s="330" t="s">
        <v>24</v>
      </c>
      <c r="E25" s="331" t="s">
        <v>56</v>
      </c>
      <c r="F25" s="540" t="s">
        <v>348</v>
      </c>
      <c r="G25" s="542"/>
    </row>
    <row r="26" spans="1:7" ht="13.25" customHeight="1" x14ac:dyDescent="0.25">
      <c r="A26" s="332" t="str">
        <f>IF('JMF SHEET PG 2'!A15&gt;0,'JMF SHEET PG 2'!H15,"")</f>
        <v>Hot Mix USA Crushed Stone - Columbus, OH</v>
      </c>
      <c r="B26" s="333">
        <f>'JMF SHEET PG 2'!A15</f>
        <v>30</v>
      </c>
      <c r="C26" s="147" t="str">
        <f>'JMF SHEET PG 2'!AE15</f>
        <v>057</v>
      </c>
      <c r="D26" s="147" t="str">
        <f>'JMF SHEET PG 2'!Z15</f>
        <v>Limestone</v>
      </c>
      <c r="E26" s="334">
        <f>IF(B26&gt;0,'JMF SHEET PG 2'!AJ15,1)</f>
        <v>2.6509999999999998</v>
      </c>
      <c r="F26" s="685"/>
      <c r="G26" s="686"/>
    </row>
    <row r="27" spans="1:7" ht="13.25" customHeight="1" x14ac:dyDescent="0.25">
      <c r="A27" s="332" t="str">
        <f>IF('JMF SHEET PG 2'!A16&gt;0,'JMF SHEET PG 2'!H16,"")</f>
        <v>Hot Mix USA Natural Stone - Columbus, OH</v>
      </c>
      <c r="B27" s="333">
        <f>'JMF SHEET PG 2'!A16</f>
        <v>12</v>
      </c>
      <c r="C27" s="147" t="str">
        <f>'JMF SHEET PG 2'!AE16</f>
        <v>008</v>
      </c>
      <c r="D27" s="147" t="str">
        <f>'JMF SHEET PG 2'!Z16</f>
        <v>Natural Gravel</v>
      </c>
      <c r="E27" s="334">
        <f>IF(B27&gt;0,'JMF SHEET PG 2'!AJ16,1)</f>
        <v>2.6240000000000001</v>
      </c>
      <c r="F27" s="685"/>
      <c r="G27" s="686"/>
    </row>
    <row r="28" spans="1:7" ht="13.25" customHeight="1" x14ac:dyDescent="0.25">
      <c r="A28" s="332" t="str">
        <f>IF('JMF SHEET PG 2'!A17&gt;0,'JMF SHEET PG 2'!H17,"")</f>
        <v/>
      </c>
      <c r="B28" s="333">
        <f>'JMF SHEET PG 2'!A17</f>
        <v>0</v>
      </c>
      <c r="C28" s="147">
        <f>'JMF SHEET PG 2'!AE17</f>
        <v>0</v>
      </c>
      <c r="D28" s="147" t="str">
        <f>'JMF SHEET PG 2'!Z17</f>
        <v/>
      </c>
      <c r="E28" s="334">
        <f>IF(B28&gt;0,'JMF SHEET PG 2'!AJ17,1)</f>
        <v>1</v>
      </c>
      <c r="F28" s="685"/>
      <c r="G28" s="686"/>
    </row>
    <row r="29" spans="1:7" ht="13.25" customHeight="1" x14ac:dyDescent="0.25">
      <c r="A29" s="332" t="str">
        <f>IF('JMF SHEET PG 2'!A18&gt;0,'JMF SHEET PG 2'!H18,"")</f>
        <v/>
      </c>
      <c r="B29" s="333">
        <f>'JMF SHEET PG 2'!A18</f>
        <v>0</v>
      </c>
      <c r="C29" s="147">
        <f>'JMF SHEET PG 2'!AE18</f>
        <v>0</v>
      </c>
      <c r="D29" s="147" t="str">
        <f>'JMF SHEET PG 2'!Z18</f>
        <v/>
      </c>
      <c r="E29" s="334">
        <f>IF(B29&gt;0,'JMF SHEET PG 2'!AJ18,1)</f>
        <v>1</v>
      </c>
      <c r="F29" s="685"/>
      <c r="G29" s="686"/>
    </row>
    <row r="30" spans="1:7" ht="13.25" customHeight="1" x14ac:dyDescent="0.25">
      <c r="A30" s="335" t="s">
        <v>49</v>
      </c>
      <c r="B30" s="156"/>
      <c r="C30" s="156"/>
      <c r="D30" s="156"/>
      <c r="E30" s="111"/>
      <c r="F30" s="685"/>
      <c r="G30" s="686"/>
    </row>
    <row r="31" spans="1:7" ht="13.25" customHeight="1" x14ac:dyDescent="0.25">
      <c r="A31" s="332" t="str">
        <f>IF('JMF SHEET PG 2'!A23&gt;0,'JMF SHEET PG 2'!H23,"")</f>
        <v>Hot Mix USA Natural Stone - Columbus, OH</v>
      </c>
      <c r="B31" s="333">
        <f>'JMF SHEET PG 2'!A23</f>
        <v>21</v>
      </c>
      <c r="C31" s="147" t="str">
        <f>'JMF SHEET PG 2'!AE23</f>
        <v>SD2</v>
      </c>
      <c r="D31" s="147" t="str">
        <f>'JMF SHEET PG 2'!Z23</f>
        <v>Natural Sand</v>
      </c>
      <c r="E31" s="334">
        <f>IF(B31&gt;0,'JMF SHEET PG 2'!AJ23,1)</f>
        <v>2.6480000000000001</v>
      </c>
      <c r="F31" s="685"/>
      <c r="G31" s="686"/>
    </row>
    <row r="32" spans="1:7" ht="13.25" customHeight="1" x14ac:dyDescent="0.25">
      <c r="A32" s="332" t="str">
        <f>IF('JMF SHEET PG 2'!A24&gt;0,'JMF SHEET PG 2'!H24,"")</f>
        <v/>
      </c>
      <c r="B32" s="333">
        <f>'JMF SHEET PG 2'!A24</f>
        <v>0</v>
      </c>
      <c r="C32" s="147">
        <f>'JMF SHEET PG 2'!AE24</f>
        <v>0</v>
      </c>
      <c r="D32" s="147" t="str">
        <f>'JMF SHEET PG 2'!Z24</f>
        <v/>
      </c>
      <c r="E32" s="334">
        <f>IF(B32&gt;0,'JMF SHEET PG 2'!AJ24,1)</f>
        <v>1</v>
      </c>
      <c r="F32" s="685"/>
      <c r="G32" s="686"/>
    </row>
    <row r="33" spans="1:7" ht="13.25" customHeight="1" x14ac:dyDescent="0.25">
      <c r="A33" s="332" t="str">
        <f>IF('JMF SHEET PG 2'!A25&gt;0,'JMF SHEET PG 2'!H25,"")</f>
        <v/>
      </c>
      <c r="B33" s="333">
        <f>'JMF SHEET PG 2'!A25</f>
        <v>0</v>
      </c>
      <c r="C33" s="147">
        <f>'JMF SHEET PG 2'!AE25</f>
        <v>0</v>
      </c>
      <c r="D33" s="147" t="str">
        <f>'JMF SHEET PG 2'!Z25</f>
        <v/>
      </c>
      <c r="E33" s="334">
        <f>IF(B33&gt;0,'JMF SHEET PG 2'!AJ25,1)</f>
        <v>1</v>
      </c>
      <c r="F33" s="685"/>
      <c r="G33" s="686"/>
    </row>
    <row r="34" spans="1:7" ht="13.25" customHeight="1" x14ac:dyDescent="0.25">
      <c r="A34" s="332" t="str">
        <f>IF('JMF SHEET PG 2'!A26&gt;0,'JMF SHEET PG 2'!H26,"")</f>
        <v/>
      </c>
      <c r="B34" s="333">
        <f>'JMF SHEET PG 2'!A26</f>
        <v>0</v>
      </c>
      <c r="C34" s="147">
        <f>'JMF SHEET PG 2'!AE26</f>
        <v>0</v>
      </c>
      <c r="D34" s="147" t="str">
        <f>'JMF SHEET PG 2'!Z26</f>
        <v/>
      </c>
      <c r="E34" s="334">
        <f>IF(B34&gt;0,'JMF SHEET PG 2'!AJ26,1)</f>
        <v>1</v>
      </c>
      <c r="F34" s="685"/>
      <c r="G34" s="686"/>
    </row>
    <row r="35" spans="1:7" ht="13.25" customHeight="1" x14ac:dyDescent="0.25">
      <c r="A35" s="335" t="s">
        <v>364</v>
      </c>
      <c r="B35" s="156"/>
      <c r="C35" s="336"/>
      <c r="D35" s="336"/>
      <c r="E35" s="111"/>
      <c r="F35" s="685"/>
      <c r="G35" s="686"/>
    </row>
    <row r="36" spans="1:7" ht="13.25" customHeight="1" x14ac:dyDescent="0.25">
      <c r="A36" s="332" t="str">
        <f>IF('JMF SHEET PG 2'!A30&gt;0,'JMF SHEET PG 2'!M30,"")</f>
        <v>HMA Mix USA, Columbus Plant #21</v>
      </c>
      <c r="B36" s="333">
        <f>'JMF SHEET PG 2'!A30</f>
        <v>2</v>
      </c>
      <c r="C36" s="147" t="str">
        <f>'JMF SHEET PG 2'!D30</f>
        <v>BF</v>
      </c>
      <c r="D36" s="147" t="str">
        <f>'JMF SHEET PG 2'!H30</f>
        <v>Baghouse Fines</v>
      </c>
      <c r="E36" s="334">
        <f>IF(B36&gt;0,'JMF SHEET PG 2'!AM30,1)</f>
        <v>2.6480000000000001</v>
      </c>
      <c r="F36" s="685"/>
      <c r="G36" s="686"/>
    </row>
    <row r="37" spans="1:7" ht="13.25" customHeight="1" x14ac:dyDescent="0.25">
      <c r="A37" s="335" t="s">
        <v>107</v>
      </c>
      <c r="B37" s="156"/>
      <c r="C37" s="336"/>
      <c r="D37" s="336"/>
      <c r="E37" s="111"/>
      <c r="F37" s="685"/>
      <c r="G37" s="686"/>
    </row>
    <row r="38" spans="1:7" ht="13.25" customHeight="1" x14ac:dyDescent="0.25">
      <c r="A38" s="337" t="s">
        <v>137</v>
      </c>
      <c r="B38" s="338">
        <f>'JMF SHEET PG 2'!A34</f>
        <v>35</v>
      </c>
      <c r="C38" s="339"/>
      <c r="D38" s="340"/>
      <c r="E38" s="334">
        <f>IF(B38&gt;0,'JMF SHEET PG 2'!AM34,1)</f>
        <v>2.7097039292265053</v>
      </c>
      <c r="F38" s="685"/>
      <c r="G38" s="686"/>
    </row>
    <row r="39" spans="1:7" ht="13.25" customHeight="1" x14ac:dyDescent="0.25">
      <c r="A39" s="341" t="s">
        <v>138</v>
      </c>
      <c r="B39" s="338">
        <f>'JMF SHEET PG 2'!A35</f>
        <v>0</v>
      </c>
      <c r="C39" s="339"/>
      <c r="D39" s="342"/>
      <c r="E39" s="334">
        <f>IF(B39&gt;0,'JMF SHEET PG 2'!AM35,1)</f>
        <v>1</v>
      </c>
      <c r="F39" s="685"/>
      <c r="G39" s="686"/>
    </row>
    <row r="40" spans="1:7" ht="13.25" customHeight="1" x14ac:dyDescent="0.25">
      <c r="A40" s="341" t="s">
        <v>139</v>
      </c>
      <c r="B40" s="338">
        <f>'JMF SHEET PG 2'!A36</f>
        <v>0</v>
      </c>
      <c r="C40" s="339"/>
      <c r="D40" s="342"/>
      <c r="E40" s="334">
        <f>IF(B40&gt;0,'JMF SHEET PG 2'!AM36,1)</f>
        <v>1</v>
      </c>
      <c r="F40" s="685"/>
      <c r="G40" s="686"/>
    </row>
    <row r="41" spans="1:7" ht="6.9" customHeight="1" x14ac:dyDescent="0.25">
      <c r="A41" s="313"/>
      <c r="B41" s="149"/>
      <c r="C41" s="149"/>
      <c r="D41" s="149"/>
      <c r="E41" s="149"/>
      <c r="F41" s="149"/>
      <c r="G41" s="221"/>
    </row>
    <row r="42" spans="1:7" ht="12.75" customHeight="1" thickBot="1" x14ac:dyDescent="0.3">
      <c r="A42" s="343"/>
      <c r="B42" s="165"/>
      <c r="C42" s="165"/>
      <c r="D42" s="165"/>
      <c r="E42" s="344" t="s">
        <v>1806</v>
      </c>
      <c r="F42" s="345">
        <f>(100/((B26/E26)+(B27/E27)+(B28/E28)+(B29/E29)+(B31/E31)+(B32/E32)+(B33/E33)+(B34/E34)+(B36/E36)+(B38/E38)+(B39/E39)+(B40/E40)))</f>
        <v>2.6672359629054911</v>
      </c>
      <c r="G42" s="221"/>
    </row>
    <row r="43" spans="1:7" ht="3.75" customHeight="1" thickTop="1" thickBot="1" x14ac:dyDescent="0.3">
      <c r="A43" s="346"/>
      <c r="B43" s="347"/>
      <c r="C43" s="347"/>
      <c r="D43" s="347"/>
      <c r="E43" s="348"/>
      <c r="F43" s="326"/>
      <c r="G43" s="327"/>
    </row>
    <row r="44" spans="1:7" ht="9.9" customHeight="1" x14ac:dyDescent="0.25">
      <c r="A44" s="149"/>
      <c r="B44" s="149"/>
      <c r="C44" s="149"/>
      <c r="D44" s="149"/>
      <c r="E44" s="149"/>
      <c r="F44" s="149"/>
      <c r="G44" s="349"/>
    </row>
    <row r="45" spans="1:7" ht="12" customHeight="1" x14ac:dyDescent="0.25">
      <c r="A45" s="149"/>
      <c r="B45" s="149"/>
      <c r="C45" s="149"/>
      <c r="D45" s="149"/>
      <c r="E45" s="149"/>
      <c r="F45" s="149"/>
      <c r="G45" s="109" t="str">
        <f>'TRANS. COV.'!AO73</f>
        <v>Ver 0.1</v>
      </c>
    </row>
    <row r="47" spans="1:7" ht="13.25" customHeight="1" x14ac:dyDescent="0.25">
      <c r="A47" s="350"/>
      <c r="B47" s="351"/>
      <c r="C47" s="160"/>
    </row>
    <row r="48" spans="1:7" ht="13.25" customHeight="1" x14ac:dyDescent="0.25">
      <c r="A48" s="350"/>
      <c r="B48" s="351"/>
      <c r="C48" s="160"/>
    </row>
    <row r="49" spans="1:3" ht="13.25" customHeight="1" x14ac:dyDescent="0.25">
      <c r="A49" s="350"/>
      <c r="B49" s="351"/>
      <c r="C49" s="160"/>
    </row>
    <row r="50" spans="1:3" ht="13.25" customHeight="1" x14ac:dyDescent="0.25">
      <c r="A50" s="350"/>
      <c r="B50" s="351"/>
      <c r="C50" s="160"/>
    </row>
    <row r="51" spans="1:3" ht="13.25" customHeight="1" x14ac:dyDescent="0.25">
      <c r="A51" s="350"/>
      <c r="B51" s="351"/>
      <c r="C51" s="160"/>
    </row>
    <row r="52" spans="1:3" ht="13.25" customHeight="1" x14ac:dyDescent="0.25">
      <c r="A52" s="350"/>
      <c r="B52" s="351"/>
      <c r="C52" s="160"/>
    </row>
    <row r="53" spans="1:3" ht="13.25" customHeight="1" x14ac:dyDescent="0.25">
      <c r="A53" s="350"/>
      <c r="B53" s="351"/>
      <c r="C53" s="160"/>
    </row>
    <row r="54" spans="1:3" ht="13.25" customHeight="1" x14ac:dyDescent="0.25">
      <c r="A54" s="350"/>
      <c r="B54" s="351"/>
      <c r="C54" s="160"/>
    </row>
    <row r="55" spans="1:3" ht="13.25" customHeight="1" x14ac:dyDescent="0.25">
      <c r="A55" s="350"/>
      <c r="B55" s="351"/>
      <c r="C55" s="160"/>
    </row>
    <row r="56" spans="1:3" ht="13.25" customHeight="1" x14ac:dyDescent="0.25">
      <c r="A56" s="350"/>
      <c r="B56" s="351"/>
      <c r="C56" s="160"/>
    </row>
    <row r="57" spans="1:3" ht="13.25" customHeight="1" x14ac:dyDescent="0.25">
      <c r="A57" s="350"/>
      <c r="B57" s="351"/>
      <c r="C57" s="160"/>
    </row>
    <row r="58" spans="1:3" ht="13.25" customHeight="1" x14ac:dyDescent="0.25">
      <c r="A58" s="350"/>
      <c r="B58" s="351"/>
      <c r="C58" s="160"/>
    </row>
    <row r="59" spans="1:3" ht="13.25" customHeight="1" x14ac:dyDescent="0.25">
      <c r="A59" s="350"/>
      <c r="B59" s="351"/>
      <c r="C59" s="160"/>
    </row>
    <row r="60" spans="1:3" ht="13.25" customHeight="1" x14ac:dyDescent="0.25">
      <c r="A60" s="350"/>
      <c r="B60" s="351"/>
      <c r="C60" s="160"/>
    </row>
    <row r="61" spans="1:3" ht="13.25" customHeight="1" x14ac:dyDescent="0.25">
      <c r="A61" s="350"/>
      <c r="B61" s="351"/>
      <c r="C61" s="160"/>
    </row>
    <row r="62" spans="1:3" ht="13.25" customHeight="1" x14ac:dyDescent="0.25">
      <c r="A62" s="350"/>
      <c r="B62" s="351"/>
      <c r="C62" s="160"/>
    </row>
    <row r="63" spans="1:3" ht="13.25" customHeight="1" x14ac:dyDescent="0.25">
      <c r="A63" s="350"/>
      <c r="B63" s="351"/>
      <c r="C63" s="160"/>
    </row>
    <row r="64" spans="1:3" ht="13.25" customHeight="1" x14ac:dyDescent="0.25">
      <c r="A64" s="350"/>
      <c r="B64" s="351"/>
      <c r="C64" s="160"/>
    </row>
    <row r="65" spans="1:3" ht="13.25" customHeight="1" x14ac:dyDescent="0.25">
      <c r="A65" s="350"/>
      <c r="B65" s="351"/>
      <c r="C65" s="160"/>
    </row>
    <row r="66" spans="1:3" ht="13.25" customHeight="1" x14ac:dyDescent="0.25">
      <c r="A66" s="350"/>
      <c r="B66" s="351"/>
      <c r="C66" s="160"/>
    </row>
    <row r="67" spans="1:3" ht="13.25" customHeight="1" x14ac:dyDescent="0.25">
      <c r="A67" s="350"/>
      <c r="B67" s="351"/>
      <c r="C67" s="160"/>
    </row>
    <row r="68" spans="1:3" ht="13.25" customHeight="1" x14ac:dyDescent="0.25">
      <c r="A68" s="350"/>
      <c r="B68" s="351"/>
      <c r="C68" s="160"/>
    </row>
    <row r="69" spans="1:3" ht="13.25" customHeight="1" x14ac:dyDescent="0.25">
      <c r="A69" s="350"/>
      <c r="B69" s="351"/>
      <c r="C69" s="160"/>
    </row>
    <row r="70" spans="1:3" ht="13.25" customHeight="1" x14ac:dyDescent="0.25">
      <c r="A70" s="350"/>
      <c r="B70" s="351"/>
      <c r="C70" s="160"/>
    </row>
    <row r="71" spans="1:3" ht="13.25" customHeight="1" x14ac:dyDescent="0.25">
      <c r="A71" s="350"/>
      <c r="B71" s="351"/>
      <c r="C71" s="160"/>
    </row>
    <row r="72" spans="1:3" ht="13.25" customHeight="1" x14ac:dyDescent="0.25">
      <c r="A72" s="350"/>
      <c r="B72" s="351"/>
      <c r="C72" s="160"/>
    </row>
    <row r="73" spans="1:3" ht="13.25" customHeight="1" x14ac:dyDescent="0.25">
      <c r="A73" s="350"/>
      <c r="B73" s="351"/>
      <c r="C73" s="160"/>
    </row>
    <row r="74" spans="1:3" ht="13.25" customHeight="1" x14ac:dyDescent="0.25">
      <c r="A74" s="350"/>
      <c r="B74" s="351"/>
      <c r="C74" s="160"/>
    </row>
    <row r="75" spans="1:3" ht="13.25" customHeight="1" x14ac:dyDescent="0.25">
      <c r="A75" s="350"/>
      <c r="B75" s="351"/>
      <c r="C75" s="160"/>
    </row>
    <row r="76" spans="1:3" ht="13.25" customHeight="1" x14ac:dyDescent="0.25">
      <c r="A76" s="350"/>
      <c r="B76" s="351"/>
      <c r="C76" s="160"/>
    </row>
    <row r="77" spans="1:3" ht="13.25" customHeight="1" x14ac:dyDescent="0.25">
      <c r="A77" s="350"/>
      <c r="B77" s="351"/>
      <c r="C77" s="160"/>
    </row>
    <row r="78" spans="1:3" ht="13.25" customHeight="1" x14ac:dyDescent="0.25">
      <c r="A78" s="350"/>
      <c r="B78" s="351"/>
      <c r="C78" s="160"/>
    </row>
    <row r="79" spans="1:3" ht="13.25" customHeight="1" x14ac:dyDescent="0.25">
      <c r="A79" s="350"/>
      <c r="B79" s="351"/>
      <c r="C79" s="160"/>
    </row>
    <row r="80" spans="1:3" ht="13.25" customHeight="1" x14ac:dyDescent="0.25">
      <c r="A80" s="350"/>
      <c r="B80" s="351"/>
      <c r="C80" s="160"/>
    </row>
    <row r="81" spans="1:3" ht="13.25" customHeight="1" x14ac:dyDescent="0.25">
      <c r="A81" s="350"/>
      <c r="B81" s="351"/>
      <c r="C81" s="160"/>
    </row>
    <row r="82" spans="1:3" ht="13.25" customHeight="1" x14ac:dyDescent="0.25">
      <c r="A82" s="350"/>
      <c r="B82" s="351"/>
      <c r="C82" s="160"/>
    </row>
    <row r="83" spans="1:3" ht="13.25" customHeight="1" x14ac:dyDescent="0.25">
      <c r="A83" s="350"/>
      <c r="B83" s="351"/>
      <c r="C83" s="160"/>
    </row>
    <row r="84" spans="1:3" ht="13.25" customHeight="1" x14ac:dyDescent="0.25">
      <c r="A84" s="350"/>
      <c r="B84" s="351"/>
      <c r="C84" s="160"/>
    </row>
    <row r="85" spans="1:3" ht="13.25" customHeight="1" x14ac:dyDescent="0.25">
      <c r="A85" s="350"/>
      <c r="B85" s="351"/>
      <c r="C85" s="160"/>
    </row>
    <row r="86" spans="1:3" ht="13.25" customHeight="1" x14ac:dyDescent="0.25">
      <c r="A86" s="350"/>
      <c r="B86" s="351"/>
      <c r="C86" s="160"/>
    </row>
    <row r="87" spans="1:3" ht="13.25" customHeight="1" x14ac:dyDescent="0.25">
      <c r="A87" s="350"/>
      <c r="B87" s="351"/>
      <c r="C87" s="160"/>
    </row>
    <row r="88" spans="1:3" ht="13.25" customHeight="1" x14ac:dyDescent="0.25">
      <c r="A88" s="350"/>
      <c r="B88" s="351"/>
      <c r="C88" s="160"/>
    </row>
    <row r="89" spans="1:3" ht="13.25" customHeight="1" x14ac:dyDescent="0.25">
      <c r="A89" s="350"/>
      <c r="B89" s="351"/>
      <c r="C89" s="160"/>
    </row>
    <row r="90" spans="1:3" ht="13.25" customHeight="1" x14ac:dyDescent="0.25">
      <c r="A90" s="350"/>
      <c r="B90" s="351"/>
      <c r="C90" s="160"/>
    </row>
    <row r="91" spans="1:3" ht="13.25" customHeight="1" x14ac:dyDescent="0.25">
      <c r="A91" s="350"/>
      <c r="B91" s="351"/>
      <c r="C91" s="160"/>
    </row>
    <row r="92" spans="1:3" ht="13.25" customHeight="1" x14ac:dyDescent="0.25">
      <c r="A92" s="350"/>
      <c r="B92" s="351"/>
      <c r="C92" s="160"/>
    </row>
    <row r="93" spans="1:3" ht="13.25" customHeight="1" x14ac:dyDescent="0.25">
      <c r="A93" s="350"/>
      <c r="B93" s="351"/>
      <c r="C93" s="160"/>
    </row>
    <row r="94" spans="1:3" ht="13.25" customHeight="1" x14ac:dyDescent="0.25">
      <c r="A94" s="350"/>
      <c r="B94" s="351"/>
      <c r="C94" s="160"/>
    </row>
    <row r="95" spans="1:3" ht="13.25" customHeight="1" x14ac:dyDescent="0.25">
      <c r="A95" s="350"/>
      <c r="B95" s="351"/>
      <c r="C95" s="160"/>
    </row>
    <row r="96" spans="1:3" ht="13.25" customHeight="1" x14ac:dyDescent="0.25">
      <c r="A96" s="350"/>
      <c r="B96" s="351"/>
      <c r="C96" s="160"/>
    </row>
    <row r="97" spans="1:3" ht="13.25" customHeight="1" x14ac:dyDescent="0.25">
      <c r="A97" s="350"/>
      <c r="B97" s="351"/>
      <c r="C97" s="160"/>
    </row>
    <row r="98" spans="1:3" ht="13.25" customHeight="1" x14ac:dyDescent="0.25">
      <c r="A98" s="350"/>
      <c r="B98" s="351"/>
      <c r="C98" s="160"/>
    </row>
    <row r="99" spans="1:3" ht="13.25" customHeight="1" x14ac:dyDescent="0.25">
      <c r="A99" s="350"/>
      <c r="B99" s="351"/>
      <c r="C99" s="160"/>
    </row>
    <row r="100" spans="1:3" ht="13.25" customHeight="1" x14ac:dyDescent="0.25">
      <c r="A100" s="350"/>
      <c r="B100" s="351"/>
      <c r="C100" s="160"/>
    </row>
    <row r="101" spans="1:3" ht="13.25" customHeight="1" x14ac:dyDescent="0.25">
      <c r="A101" s="350"/>
      <c r="B101" s="351"/>
      <c r="C101" s="160"/>
    </row>
    <row r="102" spans="1:3" ht="13.25" customHeight="1" x14ac:dyDescent="0.25">
      <c r="A102" s="350"/>
      <c r="B102" s="351"/>
      <c r="C102" s="160"/>
    </row>
    <row r="103" spans="1:3" ht="13.25" customHeight="1" x14ac:dyDescent="0.25">
      <c r="A103" s="350"/>
      <c r="B103" s="351"/>
      <c r="C103" s="160"/>
    </row>
    <row r="104" spans="1:3" ht="13.25" customHeight="1" x14ac:dyDescent="0.25">
      <c r="A104" s="350"/>
      <c r="B104" s="351"/>
      <c r="C104" s="160"/>
    </row>
    <row r="105" spans="1:3" ht="13.25" customHeight="1" x14ac:dyDescent="0.25">
      <c r="A105" s="350"/>
      <c r="B105" s="351"/>
      <c r="C105" s="160"/>
    </row>
    <row r="106" spans="1:3" ht="13.25" customHeight="1" x14ac:dyDescent="0.25">
      <c r="A106" s="350"/>
      <c r="B106" s="351"/>
      <c r="C106" s="160"/>
    </row>
    <row r="107" spans="1:3" ht="13.25" customHeight="1" x14ac:dyDescent="0.25">
      <c r="A107" s="350"/>
      <c r="B107" s="351"/>
      <c r="C107" s="160"/>
    </row>
    <row r="108" spans="1:3" ht="13.25" customHeight="1" x14ac:dyDescent="0.25">
      <c r="A108" s="350"/>
      <c r="B108" s="351"/>
      <c r="C108" s="160"/>
    </row>
    <row r="109" spans="1:3" ht="13.25" customHeight="1" x14ac:dyDescent="0.25">
      <c r="A109" s="350"/>
      <c r="B109" s="351"/>
      <c r="C109" s="160"/>
    </row>
    <row r="110" spans="1:3" ht="13.25" customHeight="1" x14ac:dyDescent="0.25">
      <c r="A110" s="350"/>
      <c r="B110" s="351"/>
      <c r="C110" s="160"/>
    </row>
    <row r="111" spans="1:3" ht="13.25" customHeight="1" x14ac:dyDescent="0.25">
      <c r="A111" s="350"/>
      <c r="B111" s="351"/>
      <c r="C111" s="160"/>
    </row>
    <row r="112" spans="1:3" ht="13.25" customHeight="1" x14ac:dyDescent="0.25">
      <c r="A112" s="350"/>
      <c r="B112" s="351"/>
      <c r="C112" s="160"/>
    </row>
    <row r="113" spans="1:3" ht="13.25" customHeight="1" x14ac:dyDescent="0.25">
      <c r="A113" s="350"/>
      <c r="B113" s="351"/>
      <c r="C113" s="160"/>
    </row>
    <row r="114" spans="1:3" ht="13.25" customHeight="1" x14ac:dyDescent="0.25">
      <c r="A114" s="350"/>
      <c r="B114" s="351"/>
      <c r="C114" s="160"/>
    </row>
    <row r="115" spans="1:3" ht="13.25" customHeight="1" x14ac:dyDescent="0.25">
      <c r="A115" s="350"/>
      <c r="B115" s="351"/>
      <c r="C115" s="160"/>
    </row>
    <row r="116" spans="1:3" ht="13.25" customHeight="1" x14ac:dyDescent="0.25">
      <c r="A116" s="350"/>
      <c r="B116" s="351"/>
      <c r="C116" s="160"/>
    </row>
    <row r="117" spans="1:3" ht="13.25" customHeight="1" x14ac:dyDescent="0.25">
      <c r="A117" s="350"/>
      <c r="B117" s="351"/>
      <c r="C117" s="160"/>
    </row>
    <row r="118" spans="1:3" ht="13.25" customHeight="1" x14ac:dyDescent="0.25">
      <c r="A118" s="350"/>
      <c r="B118" s="351"/>
      <c r="C118" s="160"/>
    </row>
    <row r="119" spans="1:3" ht="13.25" customHeight="1" x14ac:dyDescent="0.25">
      <c r="A119" s="350"/>
      <c r="B119" s="351"/>
      <c r="C119" s="160"/>
    </row>
    <row r="120" spans="1:3" ht="13.25" customHeight="1" x14ac:dyDescent="0.25">
      <c r="A120" s="350"/>
      <c r="B120" s="351"/>
      <c r="C120" s="160"/>
    </row>
    <row r="121" spans="1:3" ht="13.25" customHeight="1" x14ac:dyDescent="0.25">
      <c r="A121" s="350"/>
      <c r="B121" s="351"/>
      <c r="C121" s="160"/>
    </row>
    <row r="122" spans="1:3" ht="13.25" customHeight="1" x14ac:dyDescent="0.25">
      <c r="A122" s="350"/>
      <c r="B122" s="351"/>
      <c r="C122" s="160"/>
    </row>
    <row r="123" spans="1:3" ht="13.25" customHeight="1" x14ac:dyDescent="0.25">
      <c r="A123" s="350"/>
      <c r="B123" s="351"/>
      <c r="C123" s="160"/>
    </row>
    <row r="124" spans="1:3" ht="13.25" customHeight="1" x14ac:dyDescent="0.25">
      <c r="A124" s="350"/>
      <c r="B124" s="351"/>
      <c r="C124" s="160"/>
    </row>
    <row r="125" spans="1:3" ht="13.25" customHeight="1" x14ac:dyDescent="0.25">
      <c r="A125" s="352"/>
      <c r="B125" s="351"/>
      <c r="C125" s="160"/>
    </row>
    <row r="126" spans="1:3" ht="13.25" customHeight="1" x14ac:dyDescent="0.25">
      <c r="A126" s="352"/>
      <c r="B126" s="351"/>
      <c r="C126" s="160"/>
    </row>
    <row r="127" spans="1:3" ht="13.25" customHeight="1" x14ac:dyDescent="0.25">
      <c r="A127" s="352"/>
      <c r="B127" s="351"/>
      <c r="C127" s="160"/>
    </row>
    <row r="128" spans="1:3" ht="13.25" customHeight="1" x14ac:dyDescent="0.25">
      <c r="A128" s="352"/>
      <c r="B128" s="351"/>
      <c r="C128" s="160"/>
    </row>
    <row r="129" spans="1:3" ht="13.25" customHeight="1" x14ac:dyDescent="0.25">
      <c r="A129" s="352"/>
      <c r="B129" s="351"/>
      <c r="C129" s="160"/>
    </row>
    <row r="130" spans="1:3" ht="13.25" customHeight="1" x14ac:dyDescent="0.25">
      <c r="A130" s="352"/>
      <c r="B130" s="351"/>
      <c r="C130" s="160"/>
    </row>
    <row r="131" spans="1:3" ht="13.25" customHeight="1" x14ac:dyDescent="0.25">
      <c r="A131" s="352"/>
      <c r="B131" s="351"/>
      <c r="C131" s="160"/>
    </row>
    <row r="132" spans="1:3" ht="13.25" customHeight="1" x14ac:dyDescent="0.25">
      <c r="A132" s="352"/>
      <c r="B132" s="351"/>
      <c r="C132" s="160"/>
    </row>
    <row r="133" spans="1:3" ht="13.25" customHeight="1" x14ac:dyDescent="0.25">
      <c r="A133" s="352"/>
      <c r="B133" s="351"/>
      <c r="C133" s="160"/>
    </row>
    <row r="134" spans="1:3" ht="13.25" customHeight="1" x14ac:dyDescent="0.25">
      <c r="A134" s="352"/>
      <c r="B134" s="351"/>
      <c r="C134" s="160"/>
    </row>
    <row r="135" spans="1:3" ht="13.25" customHeight="1" x14ac:dyDescent="0.25">
      <c r="A135" s="352"/>
      <c r="B135" s="351"/>
      <c r="C135" s="160"/>
    </row>
    <row r="136" spans="1:3" ht="13.25" customHeight="1" x14ac:dyDescent="0.25">
      <c r="A136" s="352"/>
      <c r="B136" s="351"/>
      <c r="C136" s="160"/>
    </row>
    <row r="137" spans="1:3" ht="13.25" customHeight="1" x14ac:dyDescent="0.25">
      <c r="A137" s="352"/>
      <c r="B137" s="351"/>
      <c r="C137" s="160"/>
    </row>
    <row r="138" spans="1:3" ht="13.25" customHeight="1" x14ac:dyDescent="0.25">
      <c r="A138" s="352"/>
      <c r="B138" s="351"/>
      <c r="C138" s="160"/>
    </row>
    <row r="139" spans="1:3" ht="13.25" customHeight="1" x14ac:dyDescent="0.25">
      <c r="B139" s="352"/>
    </row>
    <row r="140" spans="1:3" ht="13.25" customHeight="1" x14ac:dyDescent="0.25">
      <c r="B140" s="352"/>
    </row>
    <row r="141" spans="1:3" ht="13.25" customHeight="1" x14ac:dyDescent="0.25">
      <c r="B141" s="352"/>
    </row>
    <row r="142" spans="1:3" ht="13.25" customHeight="1" x14ac:dyDescent="0.25">
      <c r="B142" s="352"/>
    </row>
    <row r="143" spans="1:3" ht="13.25" customHeight="1" x14ac:dyDescent="0.25">
      <c r="B143" s="352"/>
    </row>
    <row r="144" spans="1:3" ht="13.25" customHeight="1" x14ac:dyDescent="0.25">
      <c r="B144" s="352"/>
    </row>
    <row r="145" spans="2:2" ht="13.25" customHeight="1" x14ac:dyDescent="0.25">
      <c r="B145" s="352"/>
    </row>
    <row r="146" spans="2:2" ht="13.25" customHeight="1" x14ac:dyDescent="0.25">
      <c r="B146" s="352"/>
    </row>
    <row r="147" spans="2:2" ht="13.25" customHeight="1" x14ac:dyDescent="0.25">
      <c r="B147" s="352"/>
    </row>
    <row r="148" spans="2:2" ht="13.25" customHeight="1" x14ac:dyDescent="0.25">
      <c r="B148" s="352"/>
    </row>
    <row r="149" spans="2:2" ht="13.25" customHeight="1" x14ac:dyDescent="0.25">
      <c r="B149" s="352"/>
    </row>
    <row r="150" spans="2:2" ht="13.25" customHeight="1" x14ac:dyDescent="0.25">
      <c r="B150" s="352"/>
    </row>
    <row r="151" spans="2:2" ht="13.25" customHeight="1" x14ac:dyDescent="0.25">
      <c r="B151" s="352"/>
    </row>
    <row r="152" spans="2:2" ht="13.25" customHeight="1" x14ac:dyDescent="0.25">
      <c r="B152" s="352"/>
    </row>
    <row r="153" spans="2:2" ht="13.25" customHeight="1" x14ac:dyDescent="0.25">
      <c r="B153" s="352"/>
    </row>
    <row r="154" spans="2:2" ht="13.25" customHeight="1" x14ac:dyDescent="0.25">
      <c r="B154" s="352"/>
    </row>
    <row r="155" spans="2:2" ht="13.25" customHeight="1" x14ac:dyDescent="0.25">
      <c r="B155" s="352"/>
    </row>
    <row r="156" spans="2:2" ht="13.25" customHeight="1" x14ac:dyDescent="0.25">
      <c r="B156" s="352"/>
    </row>
    <row r="157" spans="2:2" ht="13.25" customHeight="1" x14ac:dyDescent="0.25">
      <c r="B157" s="352"/>
    </row>
    <row r="158" spans="2:2" ht="13.25" customHeight="1" x14ac:dyDescent="0.25">
      <c r="B158" s="352"/>
    </row>
    <row r="159" spans="2:2" ht="13.25" customHeight="1" x14ac:dyDescent="0.25">
      <c r="B159" s="352"/>
    </row>
    <row r="160" spans="2:2" ht="13.25" customHeight="1" x14ac:dyDescent="0.25">
      <c r="B160" s="352"/>
    </row>
    <row r="161" spans="2:2" ht="13.25" customHeight="1" x14ac:dyDescent="0.25">
      <c r="B161" s="352"/>
    </row>
    <row r="162" spans="2:2" ht="13.25" customHeight="1" x14ac:dyDescent="0.25">
      <c r="B162" s="352"/>
    </row>
    <row r="163" spans="2:2" ht="13.25" customHeight="1" x14ac:dyDescent="0.25">
      <c r="B163" s="352"/>
    </row>
    <row r="164" spans="2:2" ht="13.25" customHeight="1" x14ac:dyDescent="0.25">
      <c r="B164" s="352"/>
    </row>
    <row r="165" spans="2:2" ht="13.25" customHeight="1" x14ac:dyDescent="0.25">
      <c r="B165" s="352"/>
    </row>
    <row r="166" spans="2:2" ht="13.25" customHeight="1" x14ac:dyDescent="0.25">
      <c r="B166" s="352"/>
    </row>
    <row r="167" spans="2:2" ht="13.25" customHeight="1" x14ac:dyDescent="0.25">
      <c r="B167" s="352"/>
    </row>
    <row r="168" spans="2:2" ht="13.25" customHeight="1" x14ac:dyDescent="0.25">
      <c r="B168" s="352"/>
    </row>
    <row r="169" spans="2:2" ht="13.25" customHeight="1" x14ac:dyDescent="0.25"/>
    <row r="170" spans="2:2" ht="13.25" customHeight="1" x14ac:dyDescent="0.25"/>
    <row r="171" spans="2:2" ht="13.25" customHeight="1" x14ac:dyDescent="0.25"/>
    <row r="172" spans="2:2" ht="13.25" customHeight="1" x14ac:dyDescent="0.25"/>
    <row r="173" spans="2:2" ht="13.25" customHeight="1" x14ac:dyDescent="0.25"/>
    <row r="174" spans="2:2" ht="13.25" customHeight="1" x14ac:dyDescent="0.25"/>
    <row r="175" spans="2:2" ht="13.25" customHeight="1" x14ac:dyDescent="0.25"/>
    <row r="176" spans="2:2" ht="13.25" customHeight="1" x14ac:dyDescent="0.25"/>
    <row r="177" s="151" customFormat="1" ht="13.25" customHeight="1" x14ac:dyDescent="0.25"/>
    <row r="178" s="151" customFormat="1" ht="13.25" customHeight="1" x14ac:dyDescent="0.25"/>
    <row r="179" s="151" customFormat="1" ht="13.25" customHeight="1" x14ac:dyDescent="0.25"/>
    <row r="180" s="151" customFormat="1" ht="13.25" customHeight="1" x14ac:dyDescent="0.25"/>
    <row r="181" s="151" customFormat="1" ht="13.25" customHeight="1" x14ac:dyDescent="0.25"/>
    <row r="182" s="151" customFormat="1" ht="13.25" customHeight="1" x14ac:dyDescent="0.25"/>
    <row r="183" s="151" customFormat="1" ht="13.25" customHeight="1" x14ac:dyDescent="0.25"/>
    <row r="184" s="151" customFormat="1" ht="13.25" customHeight="1" x14ac:dyDescent="0.25"/>
    <row r="185" s="151" customFormat="1" ht="13.25" customHeight="1" x14ac:dyDescent="0.25"/>
    <row r="186" s="151" customFormat="1" ht="13.25" customHeight="1" x14ac:dyDescent="0.25"/>
    <row r="187" s="151" customFormat="1" ht="13.25" customHeight="1" x14ac:dyDescent="0.25"/>
    <row r="188" s="151" customFormat="1" ht="13.25" customHeight="1" x14ac:dyDescent="0.25"/>
    <row r="189" s="151" customFormat="1" ht="13.25" customHeight="1" x14ac:dyDescent="0.25"/>
    <row r="190" s="151" customFormat="1" ht="13.25" customHeight="1" x14ac:dyDescent="0.25"/>
    <row r="191" s="151" customFormat="1" ht="13.25" customHeight="1" x14ac:dyDescent="0.25"/>
    <row r="192" s="151" customFormat="1" ht="13.25" customHeight="1" x14ac:dyDescent="0.25"/>
    <row r="193" s="151" customFormat="1" ht="13.25" customHeight="1" x14ac:dyDescent="0.25"/>
    <row r="194" s="151" customFormat="1" ht="13.25" customHeight="1" x14ac:dyDescent="0.25"/>
    <row r="195" s="151" customFormat="1" ht="13.25" customHeight="1" x14ac:dyDescent="0.25"/>
    <row r="196" s="151" customFormat="1" ht="13.25" customHeight="1" x14ac:dyDescent="0.25"/>
    <row r="197" s="151" customFormat="1" ht="13.25" customHeight="1" x14ac:dyDescent="0.25"/>
    <row r="198" s="151" customFormat="1" ht="13.25" customHeight="1" x14ac:dyDescent="0.25"/>
    <row r="199" s="151" customFormat="1" ht="13.25" customHeight="1" x14ac:dyDescent="0.25"/>
    <row r="200" s="151" customFormat="1" ht="13.25" customHeight="1" x14ac:dyDescent="0.25"/>
    <row r="201" s="151" customFormat="1" ht="13.25" customHeight="1" x14ac:dyDescent="0.25"/>
    <row r="202" s="151" customFormat="1" ht="13.25" customHeight="1" x14ac:dyDescent="0.25"/>
    <row r="203" s="151" customFormat="1" ht="13.25" customHeight="1" x14ac:dyDescent="0.25"/>
    <row r="204" s="151" customFormat="1" ht="13.25" customHeight="1" x14ac:dyDescent="0.25"/>
    <row r="205" s="151" customFormat="1" ht="13.25" customHeight="1" x14ac:dyDescent="0.25"/>
    <row r="206" s="151" customFormat="1" ht="13.25" customHeight="1" x14ac:dyDescent="0.25"/>
    <row r="207" s="151" customFormat="1" ht="13.25" customHeight="1" x14ac:dyDescent="0.25"/>
    <row r="208" s="151" customFormat="1" ht="13.25" customHeight="1" x14ac:dyDescent="0.25"/>
    <row r="209" s="151" customFormat="1" ht="13.25" customHeight="1" x14ac:dyDescent="0.25"/>
    <row r="210" s="151" customFormat="1" ht="13.25" customHeight="1" x14ac:dyDescent="0.25"/>
    <row r="211" s="151" customFormat="1" ht="13.25" customHeight="1" x14ac:dyDescent="0.25"/>
    <row r="212" s="151" customFormat="1" ht="13.25" customHeight="1" x14ac:dyDescent="0.25"/>
    <row r="213" s="151" customFormat="1" ht="13.25" customHeight="1" x14ac:dyDescent="0.25"/>
    <row r="214" s="151" customFormat="1" ht="13.25" customHeight="1" x14ac:dyDescent="0.25"/>
    <row r="215" s="151" customFormat="1" ht="13.25" customHeight="1" x14ac:dyDescent="0.25"/>
    <row r="216" s="151" customFormat="1" ht="13.25" customHeight="1" x14ac:dyDescent="0.25"/>
    <row r="217" s="151" customFormat="1" ht="13.25" customHeight="1" x14ac:dyDescent="0.25"/>
    <row r="218" s="151" customFormat="1" ht="13.25" customHeight="1" x14ac:dyDescent="0.25"/>
  </sheetData>
  <sheetProtection algorithmName="SHA-512" hashValue="zMbtsjHPGbN5csX74ryX9UYMa3jk3ac7pWyxPPZvmItqTAVqtjW9sJFtPwA4yeZYP4C56sj4dD1KCWlusaOpCQ==" saltValue="ssA5T0kZOKUa0ih46QxFeQ==" spinCount="100000" sheet="1" objects="1" scenarios="1"/>
  <mergeCells count="20">
    <mergeCell ref="F18:G18"/>
    <mergeCell ref="B19:C19"/>
    <mergeCell ref="D19:E19"/>
    <mergeCell ref="F19:G19"/>
    <mergeCell ref="F25:G40"/>
    <mergeCell ref="A3:G3"/>
    <mergeCell ref="A5:G5"/>
    <mergeCell ref="A6:G6"/>
    <mergeCell ref="A24:G24"/>
    <mergeCell ref="B8:C8"/>
    <mergeCell ref="D8:E8"/>
    <mergeCell ref="F8:G8"/>
    <mergeCell ref="B17:C17"/>
    <mergeCell ref="D17:E17"/>
    <mergeCell ref="F17:G17"/>
    <mergeCell ref="B20:C20"/>
    <mergeCell ref="D20:E20"/>
    <mergeCell ref="F20:G20"/>
    <mergeCell ref="B18:C18"/>
    <mergeCell ref="D18:E18"/>
  </mergeCells>
  <phoneticPr fontId="20" type="noConversion"/>
  <printOptions horizontalCentered="1"/>
  <pageMargins left="0.5" right="0.5" top="0.5" bottom="0.5" header="0.3" footer="0.3"/>
  <pageSetup scale="77" fitToHeight="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9A855-0DB4-4CBA-812A-E8A272392028}">
  <dimension ref="A1:AO165"/>
  <sheetViews>
    <sheetView zoomScale="80" zoomScaleNormal="80" workbookViewId="0"/>
  </sheetViews>
  <sheetFormatPr defaultColWidth="9.08984375" defaultRowHeight="14" customHeight="1" x14ac:dyDescent="0.25"/>
  <cols>
    <col min="1" max="41" width="2.81640625" style="354" customWidth="1"/>
    <col min="42" max="16384" width="9.08984375" style="354"/>
  </cols>
  <sheetData>
    <row r="1" spans="1:41" ht="14" customHeight="1" x14ac:dyDescent="0.25">
      <c r="A1" s="353"/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  <c r="AJ1" s="353"/>
      <c r="AK1" s="353"/>
      <c r="AL1" s="353"/>
      <c r="AM1" s="353"/>
      <c r="AN1" s="353"/>
      <c r="AO1" s="353"/>
    </row>
    <row r="2" spans="1:41" ht="14" customHeight="1" x14ac:dyDescent="0.25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353"/>
      <c r="AH2" s="353"/>
      <c r="AI2" s="353"/>
      <c r="AJ2" s="353"/>
      <c r="AK2" s="353"/>
      <c r="AL2" s="353"/>
      <c r="AM2" s="355"/>
      <c r="AN2" s="356"/>
      <c r="AO2" s="353"/>
    </row>
    <row r="3" spans="1:41" ht="14" customHeight="1" x14ac:dyDescent="0.25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7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  <c r="AE3" s="353"/>
      <c r="AF3" s="353"/>
      <c r="AG3" s="353"/>
      <c r="AH3" s="353"/>
      <c r="AI3" s="353"/>
      <c r="AJ3" s="353"/>
      <c r="AK3" s="353"/>
      <c r="AL3" s="353"/>
      <c r="AM3" s="358"/>
      <c r="AN3" s="359"/>
      <c r="AO3" s="353"/>
    </row>
    <row r="4" spans="1:41" ht="14" customHeight="1" x14ac:dyDescent="0.25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3"/>
      <c r="AG4" s="353"/>
      <c r="AH4" s="353"/>
      <c r="AI4" s="353"/>
      <c r="AJ4" s="353"/>
      <c r="AK4" s="353"/>
      <c r="AL4" s="353"/>
      <c r="AM4" s="353"/>
      <c r="AN4" s="353"/>
      <c r="AO4" s="353"/>
    </row>
    <row r="5" spans="1:41" ht="14" customHeight="1" x14ac:dyDescent="0.25">
      <c r="A5" s="353"/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  <c r="AD5" s="353"/>
      <c r="AE5" s="353"/>
      <c r="AF5" s="353"/>
      <c r="AG5" s="353"/>
      <c r="AH5" s="353"/>
      <c r="AI5" s="353"/>
      <c r="AJ5" s="353"/>
      <c r="AK5" s="353"/>
      <c r="AL5" s="353"/>
      <c r="AM5" s="353"/>
      <c r="AN5" s="353"/>
      <c r="AO5" s="353"/>
    </row>
    <row r="6" spans="1:41" ht="14" customHeight="1" x14ac:dyDescent="0.25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/>
      <c r="R6" s="353"/>
      <c r="S6" s="353"/>
      <c r="T6" s="353"/>
      <c r="U6" s="353"/>
      <c r="V6" s="353"/>
      <c r="W6" s="353"/>
      <c r="X6" s="353"/>
      <c r="Y6" s="353"/>
      <c r="Z6" s="353"/>
      <c r="AA6" s="353"/>
      <c r="AB6" s="353"/>
      <c r="AC6" s="353"/>
      <c r="AD6" s="353"/>
      <c r="AE6" s="353"/>
      <c r="AF6" s="353"/>
      <c r="AG6" s="353"/>
      <c r="AH6" s="353"/>
      <c r="AI6" s="353"/>
      <c r="AJ6" s="353"/>
      <c r="AK6" s="353"/>
      <c r="AL6" s="353"/>
      <c r="AM6" s="353"/>
      <c r="AN6" s="353"/>
      <c r="AO6" s="353"/>
    </row>
    <row r="7" spans="1:41" ht="14" customHeight="1" x14ac:dyDescent="0.35">
      <c r="A7" s="353"/>
      <c r="B7" s="353"/>
      <c r="C7" s="353"/>
      <c r="D7" s="353"/>
      <c r="E7" s="353"/>
      <c r="F7" s="353"/>
      <c r="G7" s="353"/>
      <c r="H7" s="721" t="s">
        <v>1974</v>
      </c>
      <c r="I7" s="721"/>
      <c r="J7" s="721"/>
      <c r="K7" s="721"/>
      <c r="L7" s="721"/>
      <c r="M7" s="721"/>
      <c r="N7" s="721"/>
      <c r="O7" s="721"/>
      <c r="P7" s="721"/>
      <c r="Q7" s="721"/>
      <c r="R7" s="721"/>
      <c r="S7" s="721"/>
      <c r="T7" s="721"/>
      <c r="U7" s="721"/>
      <c r="V7" s="721"/>
      <c r="W7" s="721"/>
      <c r="X7" s="721"/>
      <c r="Y7" s="721"/>
      <c r="Z7" s="721"/>
      <c r="AA7" s="721"/>
      <c r="AB7" s="721"/>
      <c r="AC7" s="721"/>
      <c r="AD7" s="721"/>
      <c r="AE7" s="721"/>
      <c r="AF7" s="721"/>
      <c r="AG7" s="353"/>
      <c r="AH7" s="353"/>
      <c r="AI7" s="353"/>
      <c r="AJ7" s="353"/>
      <c r="AK7" s="353"/>
      <c r="AL7" s="353"/>
      <c r="AM7" s="353"/>
      <c r="AN7" s="353"/>
      <c r="AO7" s="353"/>
    </row>
    <row r="8" spans="1:41" ht="14" customHeight="1" x14ac:dyDescent="0.25">
      <c r="A8" s="353"/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353"/>
      <c r="V8" s="353"/>
      <c r="W8" s="353"/>
      <c r="X8" s="353"/>
      <c r="Y8" s="353"/>
      <c r="Z8" s="353"/>
      <c r="AA8" s="353"/>
      <c r="AB8" s="353"/>
      <c r="AC8" s="353"/>
      <c r="AD8" s="353"/>
      <c r="AE8" s="353"/>
      <c r="AF8" s="353"/>
      <c r="AG8" s="353"/>
      <c r="AH8" s="353"/>
      <c r="AI8" s="353"/>
      <c r="AJ8" s="353"/>
      <c r="AK8" s="353"/>
      <c r="AL8" s="353"/>
      <c r="AM8" s="353"/>
      <c r="AN8" s="353"/>
      <c r="AO8" s="353"/>
    </row>
    <row r="9" spans="1:41" ht="14" customHeight="1" x14ac:dyDescent="0.25">
      <c r="A9" s="353"/>
      <c r="B9" s="353"/>
      <c r="C9" s="353"/>
      <c r="D9" s="353"/>
      <c r="E9" s="353"/>
      <c r="F9" s="353"/>
      <c r="G9" s="353"/>
      <c r="H9" s="353"/>
      <c r="I9" s="360" t="s">
        <v>1977</v>
      </c>
      <c r="J9" s="751">
        <f>IF('JMF SHEET PG 1'!$G$18&lt;&gt;"",'JMF SHEET PG 1'!$G$18,"")</f>
        <v>19</v>
      </c>
      <c r="K9" s="751"/>
      <c r="L9" s="751"/>
      <c r="M9" s="751"/>
      <c r="N9" s="751"/>
      <c r="O9" s="353"/>
      <c r="P9" s="353"/>
      <c r="Q9" s="353"/>
      <c r="R9" s="353"/>
      <c r="S9" s="353"/>
      <c r="T9" s="353"/>
      <c r="U9" s="353"/>
      <c r="V9" s="353"/>
      <c r="W9" s="353"/>
      <c r="X9" s="353"/>
      <c r="Y9" s="353"/>
      <c r="Z9" s="353"/>
      <c r="AA9" s="353"/>
      <c r="AB9" s="353"/>
      <c r="AC9" s="353"/>
      <c r="AD9" s="353"/>
      <c r="AE9" s="353"/>
      <c r="AF9" s="353"/>
      <c r="AG9" s="353"/>
      <c r="AH9" s="353"/>
      <c r="AI9" s="353"/>
      <c r="AJ9" s="353"/>
      <c r="AK9" s="353"/>
      <c r="AL9" s="353"/>
      <c r="AM9" s="353"/>
      <c r="AN9" s="353"/>
      <c r="AO9" s="353"/>
    </row>
    <row r="10" spans="1:41" ht="14" customHeight="1" x14ac:dyDescent="0.25">
      <c r="A10" s="353"/>
      <c r="B10" s="353"/>
      <c r="C10" s="353"/>
      <c r="D10" s="353"/>
      <c r="E10" s="353"/>
      <c r="F10" s="353"/>
      <c r="G10" s="353"/>
      <c r="H10" s="353"/>
      <c r="I10" s="360" t="s">
        <v>1979</v>
      </c>
      <c r="J10" s="751" t="str">
        <f>IF('JMF SHEET PG 1'!$G$19&lt;&gt;"",'JMF SHEET PG 1'!$G$19,"")</f>
        <v/>
      </c>
      <c r="K10" s="751"/>
      <c r="L10" s="751"/>
      <c r="M10" s="751"/>
      <c r="N10" s="751"/>
      <c r="O10" s="353"/>
      <c r="P10" s="353"/>
      <c r="Q10" s="353"/>
      <c r="R10" s="353"/>
      <c r="S10" s="353"/>
      <c r="T10" s="353"/>
      <c r="U10" s="353"/>
      <c r="V10" s="353"/>
      <c r="W10" s="353"/>
      <c r="X10" s="353"/>
      <c r="Y10" s="353"/>
      <c r="Z10" s="353"/>
      <c r="AA10" s="353"/>
      <c r="AB10" s="353"/>
      <c r="AC10" s="353"/>
      <c r="AD10" s="353"/>
      <c r="AE10" s="353"/>
      <c r="AF10" s="353"/>
      <c r="AG10" s="353"/>
      <c r="AH10" s="353"/>
      <c r="AI10" s="353"/>
      <c r="AJ10" s="353"/>
      <c r="AK10" s="353"/>
      <c r="AL10" s="353"/>
      <c r="AM10" s="353"/>
      <c r="AN10" s="353"/>
      <c r="AO10" s="353"/>
    </row>
    <row r="11" spans="1:41" ht="14" customHeight="1" x14ac:dyDescent="0.25">
      <c r="A11" s="353"/>
      <c r="B11" s="353"/>
      <c r="C11" s="353"/>
      <c r="D11" s="353"/>
      <c r="E11" s="353"/>
      <c r="F11" s="353"/>
      <c r="G11" s="353"/>
      <c r="H11" s="353"/>
      <c r="I11" s="360" t="s">
        <v>1981</v>
      </c>
      <c r="J11" s="751" t="str">
        <f>IF('JMF SHEET PG 1'!$G$20&lt;&gt;"",'JMF SHEET PG 1'!$G$20,"")</f>
        <v/>
      </c>
      <c r="K11" s="751"/>
      <c r="L11" s="751"/>
      <c r="M11" s="751"/>
      <c r="N11" s="751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3"/>
      <c r="AD11" s="353"/>
      <c r="AE11" s="353"/>
      <c r="AF11" s="353"/>
      <c r="AG11" s="353"/>
      <c r="AH11" s="353"/>
      <c r="AI11" s="353"/>
      <c r="AJ11" s="353"/>
      <c r="AK11" s="353"/>
      <c r="AL11" s="353"/>
      <c r="AM11" s="353"/>
      <c r="AN11" s="353"/>
      <c r="AO11" s="353"/>
    </row>
    <row r="12" spans="1:41" ht="14" customHeight="1" x14ac:dyDescent="0.25">
      <c r="A12" s="353"/>
      <c r="B12" s="353"/>
      <c r="C12" s="353"/>
      <c r="D12" s="353"/>
      <c r="E12" s="353"/>
      <c r="F12" s="353"/>
      <c r="G12" s="353"/>
      <c r="H12" s="353"/>
      <c r="I12" s="360"/>
      <c r="J12" s="353"/>
      <c r="K12" s="353"/>
      <c r="L12" s="353"/>
      <c r="M12" s="353"/>
      <c r="N12" s="353"/>
      <c r="O12" s="353"/>
      <c r="P12" s="353"/>
      <c r="Q12" s="353"/>
      <c r="R12" s="353"/>
      <c r="S12" s="353"/>
      <c r="T12" s="353"/>
      <c r="U12" s="353"/>
      <c r="V12" s="353"/>
      <c r="W12" s="353"/>
      <c r="X12" s="353"/>
      <c r="Y12" s="353"/>
      <c r="Z12" s="353"/>
      <c r="AA12" s="353"/>
      <c r="AB12" s="353"/>
      <c r="AC12" s="353"/>
      <c r="AD12" s="360"/>
      <c r="AE12" s="353"/>
      <c r="AF12" s="353"/>
      <c r="AG12" s="353"/>
      <c r="AH12" s="353"/>
      <c r="AI12" s="353"/>
      <c r="AJ12" s="353"/>
      <c r="AK12" s="353"/>
      <c r="AL12" s="353"/>
      <c r="AM12" s="353"/>
      <c r="AN12" s="353"/>
      <c r="AO12" s="353"/>
    </row>
    <row r="13" spans="1:41" ht="14" customHeight="1" x14ac:dyDescent="0.25">
      <c r="A13" s="353"/>
      <c r="B13" s="353"/>
      <c r="C13" s="361" t="s">
        <v>1984</v>
      </c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N13" s="353"/>
      <c r="O13" s="353"/>
      <c r="P13" s="353"/>
      <c r="Q13" s="353"/>
      <c r="R13" s="353"/>
      <c r="S13" s="353"/>
      <c r="T13" s="353"/>
      <c r="U13" s="353"/>
      <c r="V13" s="353"/>
      <c r="W13" s="353"/>
      <c r="X13" s="353"/>
      <c r="Y13" s="353"/>
      <c r="Z13" s="353"/>
      <c r="AA13" s="353"/>
      <c r="AB13" s="353"/>
      <c r="AC13" s="353"/>
      <c r="AD13" s="353"/>
      <c r="AE13" s="353"/>
      <c r="AF13" s="353"/>
      <c r="AG13" s="353"/>
      <c r="AH13" s="353"/>
      <c r="AI13" s="353"/>
      <c r="AJ13" s="353"/>
      <c r="AK13" s="353"/>
      <c r="AL13" s="353"/>
      <c r="AM13" s="353"/>
      <c r="AN13" s="353"/>
      <c r="AO13" s="353"/>
    </row>
    <row r="14" spans="1:41" ht="14" customHeight="1" x14ac:dyDescent="0.25">
      <c r="A14" s="353"/>
      <c r="B14" s="353"/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353"/>
      <c r="P14" s="353"/>
      <c r="Q14" s="353"/>
      <c r="R14" s="353"/>
      <c r="S14" s="353"/>
      <c r="T14" s="353"/>
      <c r="U14" s="353"/>
      <c r="V14" s="353"/>
      <c r="W14" s="353"/>
      <c r="X14" s="353"/>
      <c r="Y14" s="353"/>
      <c r="Z14" s="353"/>
      <c r="AA14" s="353"/>
      <c r="AB14" s="353"/>
      <c r="AC14" s="353"/>
      <c r="AD14" s="353"/>
      <c r="AE14" s="353"/>
      <c r="AF14" s="353"/>
      <c r="AG14" s="353"/>
      <c r="AH14" s="353"/>
      <c r="AI14" s="353"/>
      <c r="AJ14" s="353"/>
      <c r="AK14" s="353"/>
      <c r="AL14" s="353"/>
      <c r="AM14" s="353"/>
      <c r="AN14" s="353"/>
      <c r="AO14" s="353"/>
    </row>
    <row r="15" spans="1:41" ht="14" customHeight="1" x14ac:dyDescent="0.25">
      <c r="A15" s="353"/>
      <c r="B15" s="353"/>
      <c r="C15" s="353"/>
      <c r="D15" s="353"/>
      <c r="E15" s="353"/>
      <c r="F15" s="353"/>
      <c r="G15" s="353"/>
      <c r="H15" s="353"/>
      <c r="I15" s="360" t="s">
        <v>1987</v>
      </c>
      <c r="J15" s="752">
        <v>301</v>
      </c>
      <c r="K15" s="753"/>
      <c r="L15" s="753"/>
      <c r="M15" s="753"/>
      <c r="N15" s="754"/>
      <c r="O15" s="353"/>
      <c r="P15" s="353"/>
      <c r="Q15" s="353"/>
      <c r="R15" s="353"/>
      <c r="S15" s="353"/>
      <c r="T15" s="353"/>
      <c r="U15" s="353"/>
      <c r="V15" s="353"/>
      <c r="W15" s="353"/>
      <c r="X15" s="353"/>
      <c r="Y15" s="353"/>
      <c r="Z15" s="353"/>
      <c r="AA15" s="353"/>
      <c r="AB15" s="353"/>
      <c r="AC15" s="353"/>
      <c r="AD15" s="353"/>
      <c r="AE15" s="353"/>
      <c r="AF15" s="353"/>
      <c r="AG15" s="353"/>
      <c r="AH15" s="353"/>
      <c r="AI15" s="353"/>
      <c r="AJ15" s="353"/>
      <c r="AK15" s="353"/>
      <c r="AL15" s="353"/>
      <c r="AM15" s="353"/>
      <c r="AN15" s="353"/>
      <c r="AO15" s="353"/>
    </row>
    <row r="16" spans="1:41" ht="14" customHeight="1" x14ac:dyDescent="0.25">
      <c r="A16" s="353"/>
      <c r="B16" s="353"/>
      <c r="C16" s="353"/>
      <c r="D16" s="353"/>
      <c r="E16" s="353"/>
      <c r="F16" s="353"/>
      <c r="G16" s="353"/>
      <c r="H16" s="353"/>
      <c r="I16" s="353"/>
      <c r="J16" s="353"/>
      <c r="K16" s="353"/>
      <c r="L16" s="353"/>
      <c r="M16" s="353"/>
      <c r="N16" s="353"/>
      <c r="O16" s="353"/>
      <c r="P16" s="353"/>
      <c r="Q16" s="353"/>
      <c r="R16" s="353"/>
      <c r="S16" s="353"/>
      <c r="T16" s="353"/>
      <c r="U16" s="353"/>
      <c r="V16" s="353"/>
      <c r="W16" s="353"/>
      <c r="X16" s="353"/>
      <c r="Y16" s="353"/>
      <c r="Z16" s="353"/>
      <c r="AA16" s="353"/>
      <c r="AB16" s="353"/>
      <c r="AC16" s="353"/>
      <c r="AD16" s="353"/>
      <c r="AE16" s="353"/>
      <c r="AF16" s="353"/>
      <c r="AG16" s="353"/>
      <c r="AH16" s="353"/>
      <c r="AI16" s="353"/>
      <c r="AJ16" s="353"/>
      <c r="AK16" s="353"/>
      <c r="AL16" s="353"/>
      <c r="AM16" s="353"/>
      <c r="AN16" s="353"/>
      <c r="AO16" s="353"/>
    </row>
    <row r="17" spans="1:41" ht="14" customHeight="1" x14ac:dyDescent="0.25">
      <c r="A17" s="353"/>
      <c r="B17" s="353"/>
      <c r="C17" s="353"/>
      <c r="D17" s="353"/>
      <c r="E17" s="353"/>
      <c r="F17" s="353"/>
      <c r="G17" s="353"/>
      <c r="H17" s="353"/>
      <c r="I17" s="360" t="s">
        <v>1990</v>
      </c>
      <c r="J17" s="709" t="str">
        <f>IF('TRANS. COV.'!$U$47&lt;&gt;"",'TRANS. COV.'!$U$47,"")</f>
        <v>12301-01</v>
      </c>
      <c r="K17" s="709"/>
      <c r="L17" s="709"/>
      <c r="M17" s="709"/>
      <c r="N17" s="709"/>
      <c r="O17" s="709"/>
      <c r="P17" s="709"/>
      <c r="Q17" s="709"/>
      <c r="R17" s="362"/>
      <c r="S17" s="708" t="str">
        <f>IF('TRANS. COV.'!$U$46&lt;&gt;"",'TRANS. COV.'!$U$46,"")</f>
        <v>Hot Mix USA - Columbus, OH (Plt #21)</v>
      </c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08"/>
      <c r="AF17" s="708"/>
      <c r="AG17" s="708"/>
      <c r="AH17" s="708"/>
      <c r="AI17" s="353"/>
      <c r="AJ17" s="353"/>
      <c r="AK17" s="353"/>
      <c r="AL17" s="353"/>
      <c r="AM17" s="353"/>
      <c r="AN17" s="353"/>
      <c r="AO17" s="353"/>
    </row>
    <row r="18" spans="1:41" ht="14" customHeight="1" x14ac:dyDescent="0.25">
      <c r="A18" s="353"/>
      <c r="B18" s="353"/>
      <c r="C18" s="353"/>
      <c r="D18" s="353"/>
      <c r="E18" s="353"/>
      <c r="F18" s="353"/>
      <c r="G18" s="353"/>
      <c r="H18" s="353"/>
      <c r="I18" s="360" t="s">
        <v>1992</v>
      </c>
      <c r="J18" s="709" t="str">
        <f>IF('TRANS. COV.'!$U$52&lt;&gt;"",'TRANS. COV.'!$U$52,"")</f>
        <v/>
      </c>
      <c r="K18" s="709"/>
      <c r="L18" s="709"/>
      <c r="M18" s="709"/>
      <c r="N18" s="709"/>
      <c r="O18" s="709"/>
      <c r="P18" s="709"/>
      <c r="Q18" s="709"/>
      <c r="R18" s="353"/>
      <c r="S18" s="708" t="str">
        <f>IF('TRANS. COV.'!$U$51&lt;&gt;"",'TRANS. COV.'!$U$51,"")</f>
        <v/>
      </c>
      <c r="T18" s="708"/>
      <c r="U18" s="708"/>
      <c r="V18" s="708"/>
      <c r="W18" s="708"/>
      <c r="X18" s="708"/>
      <c r="Y18" s="708"/>
      <c r="Z18" s="708"/>
      <c r="AA18" s="708"/>
      <c r="AB18" s="708"/>
      <c r="AC18" s="708"/>
      <c r="AD18" s="708"/>
      <c r="AE18" s="708"/>
      <c r="AF18" s="708"/>
      <c r="AG18" s="708"/>
      <c r="AH18" s="708"/>
      <c r="AI18" s="353"/>
      <c r="AJ18" s="353"/>
      <c r="AK18" s="353"/>
      <c r="AL18" s="353"/>
      <c r="AM18" s="353"/>
      <c r="AN18" s="353"/>
      <c r="AO18" s="353"/>
    </row>
    <row r="19" spans="1:41" ht="14" customHeight="1" x14ac:dyDescent="0.25">
      <c r="A19" s="353"/>
      <c r="B19" s="353"/>
      <c r="C19" s="353"/>
      <c r="D19" s="353"/>
      <c r="E19" s="353"/>
      <c r="F19" s="353"/>
      <c r="G19" s="353"/>
      <c r="H19" s="353"/>
      <c r="I19" s="360" t="s">
        <v>1994</v>
      </c>
      <c r="J19" s="709" t="str">
        <f>IF('TRANS. COV.'!$U$55&lt;&gt;"",'TRANS. COV.'!$U$55,"")</f>
        <v/>
      </c>
      <c r="K19" s="709"/>
      <c r="L19" s="709"/>
      <c r="M19" s="709"/>
      <c r="N19" s="709"/>
      <c r="O19" s="709"/>
      <c r="P19" s="709"/>
      <c r="Q19" s="709"/>
      <c r="R19" s="353"/>
      <c r="S19" s="708" t="str">
        <f>IF('TRANS. COV.'!$U$54&lt;&gt;"",'TRANS. COV.'!$U$54,"")</f>
        <v/>
      </c>
      <c r="T19" s="708"/>
      <c r="U19" s="708"/>
      <c r="V19" s="708"/>
      <c r="W19" s="708"/>
      <c r="X19" s="708"/>
      <c r="Y19" s="708"/>
      <c r="Z19" s="708"/>
      <c r="AA19" s="708"/>
      <c r="AB19" s="708"/>
      <c r="AC19" s="708"/>
      <c r="AD19" s="708"/>
      <c r="AE19" s="708"/>
      <c r="AF19" s="708"/>
      <c r="AG19" s="708"/>
      <c r="AH19" s="708"/>
      <c r="AI19" s="353"/>
      <c r="AJ19" s="353"/>
      <c r="AK19" s="353"/>
      <c r="AL19" s="353"/>
      <c r="AM19" s="353"/>
      <c r="AN19" s="353"/>
      <c r="AO19" s="353"/>
    </row>
    <row r="20" spans="1:41" ht="14" customHeight="1" x14ac:dyDescent="0.25">
      <c r="A20" s="353"/>
      <c r="B20" s="353"/>
      <c r="C20" s="353"/>
      <c r="D20" s="353"/>
      <c r="E20" s="353"/>
      <c r="F20" s="353"/>
      <c r="G20" s="353"/>
      <c r="H20" s="353"/>
      <c r="I20" s="353"/>
      <c r="J20" s="353"/>
      <c r="K20" s="353"/>
      <c r="L20" s="353"/>
      <c r="M20" s="353"/>
      <c r="N20" s="353"/>
      <c r="O20" s="353"/>
      <c r="P20" s="353"/>
      <c r="Q20" s="353"/>
      <c r="R20" s="353"/>
      <c r="S20" s="353"/>
      <c r="T20" s="353"/>
      <c r="U20" s="353"/>
      <c r="V20" s="353"/>
      <c r="W20" s="353"/>
      <c r="X20" s="353"/>
      <c r="Y20" s="353"/>
      <c r="Z20" s="353"/>
      <c r="AA20" s="353"/>
      <c r="AB20" s="353"/>
      <c r="AC20" s="353"/>
      <c r="AD20" s="353"/>
      <c r="AE20" s="353"/>
      <c r="AF20" s="353"/>
      <c r="AG20" s="353"/>
      <c r="AH20" s="353"/>
      <c r="AI20" s="353"/>
      <c r="AJ20" s="353"/>
      <c r="AK20" s="353"/>
      <c r="AL20" s="353"/>
      <c r="AM20" s="353"/>
      <c r="AN20" s="353"/>
      <c r="AO20" s="353"/>
    </row>
    <row r="21" spans="1:41" ht="14" customHeight="1" x14ac:dyDescent="0.25">
      <c r="A21" s="353"/>
      <c r="B21" s="353"/>
      <c r="C21" s="353"/>
      <c r="D21" s="353"/>
      <c r="E21" s="353"/>
      <c r="F21" s="353"/>
      <c r="G21" s="353"/>
      <c r="H21" s="353"/>
      <c r="I21" s="360" t="s">
        <v>1975</v>
      </c>
      <c r="J21" s="750" t="str">
        <f>IF('JMF SHEET PG 1'!$I$32&lt;&gt;"",'JMF SHEET PG 1'!$I$32,"")</f>
        <v>PG 64-22</v>
      </c>
      <c r="K21" s="750"/>
      <c r="L21" s="750"/>
      <c r="M21" s="750"/>
      <c r="N21" s="750"/>
      <c r="O21" s="750"/>
      <c r="P21" s="353"/>
      <c r="Q21" s="353"/>
      <c r="R21" s="353"/>
      <c r="S21" s="353"/>
      <c r="T21" s="353"/>
      <c r="U21" s="353"/>
      <c r="V21" s="353"/>
      <c r="W21" s="353"/>
      <c r="X21" s="353"/>
      <c r="Y21" s="353"/>
      <c r="Z21" s="353"/>
      <c r="AA21" s="353"/>
      <c r="AB21" s="353"/>
      <c r="AC21" s="353"/>
      <c r="AD21" s="353"/>
      <c r="AE21" s="353"/>
      <c r="AF21" s="353"/>
      <c r="AG21" s="360" t="s">
        <v>1997</v>
      </c>
      <c r="AH21" s="734" t="s">
        <v>335</v>
      </c>
      <c r="AI21" s="734"/>
      <c r="AJ21" s="734"/>
      <c r="AK21" s="734"/>
      <c r="AL21" s="734"/>
      <c r="AM21" s="353"/>
      <c r="AN21" s="353"/>
      <c r="AO21" s="353"/>
    </row>
    <row r="22" spans="1:41" ht="14" customHeight="1" x14ac:dyDescent="0.25">
      <c r="A22" s="353"/>
      <c r="B22" s="353"/>
      <c r="C22" s="353"/>
      <c r="D22" s="353"/>
      <c r="E22" s="353"/>
      <c r="F22" s="353"/>
      <c r="G22" s="353"/>
      <c r="H22" s="353"/>
      <c r="I22" s="360" t="s">
        <v>1976</v>
      </c>
      <c r="J22" s="729" t="s">
        <v>335</v>
      </c>
      <c r="K22" s="729"/>
      <c r="L22" s="729"/>
      <c r="M22" s="729"/>
      <c r="N22" s="729"/>
      <c r="O22" s="729"/>
      <c r="P22" s="729"/>
      <c r="Q22" s="729"/>
      <c r="R22" s="353"/>
      <c r="S22" s="353"/>
      <c r="T22" s="353"/>
      <c r="U22" s="353"/>
      <c r="V22" s="353"/>
      <c r="W22" s="353"/>
      <c r="X22" s="353"/>
      <c r="Y22" s="353"/>
      <c r="Z22" s="353"/>
      <c r="AA22" s="353"/>
      <c r="AB22" s="353"/>
      <c r="AC22" s="353"/>
      <c r="AD22" s="353"/>
      <c r="AE22" s="353"/>
      <c r="AF22" s="353"/>
      <c r="AG22" s="295" t="s">
        <v>1999</v>
      </c>
      <c r="AH22" s="744" t="s">
        <v>335</v>
      </c>
      <c r="AI22" s="745"/>
      <c r="AJ22" s="745"/>
      <c r="AK22" s="745"/>
      <c r="AL22" s="746"/>
      <c r="AM22" s="353"/>
      <c r="AN22" s="353"/>
      <c r="AO22" s="353"/>
    </row>
    <row r="23" spans="1:41" ht="14" customHeight="1" x14ac:dyDescent="0.25">
      <c r="A23" s="353"/>
      <c r="B23" s="353"/>
      <c r="C23" s="353"/>
      <c r="D23" s="353"/>
      <c r="E23" s="353"/>
      <c r="F23" s="353"/>
      <c r="G23" s="353"/>
      <c r="H23" s="353"/>
      <c r="I23" s="360" t="s">
        <v>1978</v>
      </c>
      <c r="J23" s="729" t="s">
        <v>335</v>
      </c>
      <c r="K23" s="729"/>
      <c r="L23" s="729"/>
      <c r="M23" s="729"/>
      <c r="N23" s="729"/>
      <c r="O23" s="729"/>
      <c r="P23" s="729"/>
      <c r="Q23" s="353"/>
      <c r="R23" s="353"/>
      <c r="S23" s="353"/>
      <c r="T23" s="353"/>
      <c r="U23" s="353"/>
      <c r="V23" s="353"/>
      <c r="W23" s="353"/>
      <c r="X23" s="353"/>
      <c r="Y23" s="353"/>
      <c r="Z23" s="353"/>
      <c r="AA23" s="353"/>
      <c r="AB23" s="353"/>
      <c r="AC23" s="353"/>
      <c r="AD23" s="353"/>
      <c r="AE23" s="353"/>
      <c r="AF23" s="353"/>
      <c r="AG23" s="360" t="s">
        <v>2001</v>
      </c>
      <c r="AH23" s="725" t="s">
        <v>335</v>
      </c>
      <c r="AI23" s="725"/>
      <c r="AJ23" s="725"/>
      <c r="AK23" s="725"/>
      <c r="AL23" s="725"/>
      <c r="AM23" s="353"/>
      <c r="AN23" s="353"/>
      <c r="AO23" s="353"/>
    </row>
    <row r="24" spans="1:41" ht="14" customHeight="1" x14ac:dyDescent="0.25">
      <c r="A24" s="353"/>
      <c r="B24" s="353"/>
      <c r="C24" s="353"/>
      <c r="D24" s="353"/>
      <c r="E24" s="353"/>
      <c r="F24" s="353"/>
      <c r="G24" s="353"/>
      <c r="H24" s="353"/>
      <c r="I24" s="295" t="s">
        <v>1980</v>
      </c>
      <c r="J24" s="747" t="s">
        <v>335</v>
      </c>
      <c r="K24" s="748"/>
      <c r="L24" s="748"/>
      <c r="M24" s="748"/>
      <c r="N24" s="749"/>
      <c r="O24" s="353"/>
      <c r="P24" s="353"/>
      <c r="Q24" s="353"/>
      <c r="R24" s="353"/>
      <c r="S24" s="353"/>
      <c r="T24" s="353"/>
      <c r="U24" s="353"/>
      <c r="V24" s="353"/>
      <c r="W24" s="353"/>
      <c r="X24" s="353"/>
      <c r="Y24" s="353"/>
      <c r="Z24" s="353"/>
      <c r="AA24" s="353"/>
      <c r="AB24" s="353"/>
      <c r="AC24" s="353"/>
      <c r="AD24" s="353"/>
      <c r="AE24" s="353"/>
      <c r="AF24" s="353"/>
      <c r="AG24" s="360" t="s">
        <v>2003</v>
      </c>
      <c r="AH24" s="735" t="s">
        <v>335</v>
      </c>
      <c r="AI24" s="736"/>
      <c r="AJ24" s="736"/>
      <c r="AK24" s="736"/>
      <c r="AL24" s="737"/>
      <c r="AM24" s="353"/>
      <c r="AN24" s="353"/>
      <c r="AO24" s="353"/>
    </row>
    <row r="25" spans="1:41" ht="14" customHeight="1" x14ac:dyDescent="0.25">
      <c r="A25" s="353"/>
      <c r="B25" s="353"/>
      <c r="C25" s="353"/>
      <c r="D25" s="353"/>
      <c r="E25" s="353"/>
      <c r="F25" s="353"/>
      <c r="G25" s="353"/>
      <c r="H25" s="353"/>
      <c r="I25" s="360" t="s">
        <v>1982</v>
      </c>
      <c r="J25" s="741" t="s">
        <v>335</v>
      </c>
      <c r="K25" s="742"/>
      <c r="L25" s="742"/>
      <c r="M25" s="742"/>
      <c r="N25" s="743"/>
      <c r="O25" s="353"/>
      <c r="P25" s="353"/>
      <c r="Q25" s="353"/>
      <c r="R25" s="353"/>
      <c r="S25" s="353"/>
      <c r="T25" s="353"/>
      <c r="U25" s="353"/>
      <c r="V25" s="353"/>
      <c r="W25" s="353"/>
      <c r="X25" s="353"/>
      <c r="Y25" s="353"/>
      <c r="Z25" s="353"/>
      <c r="AA25" s="353"/>
      <c r="AB25" s="353"/>
      <c r="AC25" s="353"/>
      <c r="AD25" s="353"/>
      <c r="AE25" s="353"/>
      <c r="AF25" s="353"/>
      <c r="AG25" s="360" t="s">
        <v>2005</v>
      </c>
      <c r="AH25" s="725" t="s">
        <v>335</v>
      </c>
      <c r="AI25" s="725"/>
      <c r="AJ25" s="725"/>
      <c r="AK25" s="725"/>
      <c r="AL25" s="725"/>
      <c r="AM25" s="353"/>
      <c r="AN25" s="353"/>
      <c r="AO25" s="353"/>
    </row>
    <row r="26" spans="1:41" ht="14" customHeight="1" x14ac:dyDescent="0.25">
      <c r="A26" s="353"/>
      <c r="B26" s="353"/>
      <c r="C26" s="353"/>
      <c r="D26" s="353"/>
      <c r="E26" s="353"/>
      <c r="F26" s="353"/>
      <c r="G26" s="353"/>
      <c r="H26" s="353"/>
      <c r="I26" s="302" t="s">
        <v>1983</v>
      </c>
      <c r="J26" s="704">
        <f>IF('JMF SHEET PG 1'!$L$28&lt;&gt;"",'JMF SHEET PG 1'!$L$28,"")</f>
        <v>5</v>
      </c>
      <c r="K26" s="704"/>
      <c r="L26" s="704"/>
      <c r="M26" s="704"/>
      <c r="N26" s="704"/>
      <c r="O26" s="353"/>
      <c r="P26" s="353"/>
      <c r="Q26" s="353"/>
      <c r="R26" s="353"/>
      <c r="S26" s="353"/>
      <c r="T26" s="353"/>
      <c r="U26" s="353"/>
      <c r="V26" s="353"/>
      <c r="W26" s="353"/>
      <c r="X26" s="353"/>
      <c r="Y26" s="353"/>
      <c r="Z26" s="353"/>
      <c r="AA26" s="353"/>
      <c r="AB26" s="353"/>
      <c r="AC26" s="353"/>
      <c r="AD26" s="353"/>
      <c r="AE26" s="353"/>
      <c r="AF26" s="353"/>
      <c r="AG26" s="360" t="s">
        <v>2007</v>
      </c>
      <c r="AH26" s="713">
        <f>IF('JMF SHEET PG 2'!$AM$38&lt;&gt;"",'JMF SHEET PG 2'!$AM$38,"")</f>
        <v>2.6672359629054911</v>
      </c>
      <c r="AI26" s="713"/>
      <c r="AJ26" s="713"/>
      <c r="AK26" s="713"/>
      <c r="AL26" s="713"/>
      <c r="AM26" s="353"/>
      <c r="AN26" s="353"/>
      <c r="AO26" s="353"/>
    </row>
    <row r="27" spans="1:41" ht="14" customHeight="1" x14ac:dyDescent="0.25">
      <c r="A27" s="353"/>
      <c r="B27" s="353"/>
      <c r="C27" s="353"/>
      <c r="D27" s="353"/>
      <c r="E27" s="353"/>
      <c r="F27" s="353"/>
      <c r="G27" s="353"/>
      <c r="H27" s="353"/>
      <c r="I27" s="302" t="s">
        <v>1985</v>
      </c>
      <c r="J27" s="710">
        <f>IF('JMF SHEET PG 1'!$J$30&lt;&gt;"",'JMF SHEET PG 1'!$J$30,"")</f>
        <v>3.1</v>
      </c>
      <c r="K27" s="711"/>
      <c r="L27" s="711"/>
      <c r="M27" s="711"/>
      <c r="N27" s="712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3"/>
      <c r="AA27" s="353"/>
      <c r="AB27" s="353"/>
      <c r="AC27" s="353"/>
      <c r="AD27" s="353"/>
      <c r="AE27" s="353"/>
      <c r="AF27" s="353"/>
      <c r="AG27" s="360" t="s">
        <v>2008</v>
      </c>
      <c r="AH27" s="734">
        <f>IF('JMF SHEET PG 1'!$AF$21&lt;&gt;"",'JMF SHEET PG 1'!$AF$21,"")</f>
        <v>2</v>
      </c>
      <c r="AI27" s="734"/>
      <c r="AJ27" s="734"/>
      <c r="AK27" s="734"/>
      <c r="AL27" s="734"/>
      <c r="AM27" s="353"/>
      <c r="AN27" s="353"/>
      <c r="AO27" s="353"/>
    </row>
    <row r="28" spans="1:41" ht="14" customHeight="1" x14ac:dyDescent="0.25">
      <c r="A28" s="353"/>
      <c r="B28" s="353"/>
      <c r="C28" s="353"/>
      <c r="D28" s="353"/>
      <c r="E28" s="353"/>
      <c r="F28" s="353"/>
      <c r="G28" s="353"/>
      <c r="H28" s="353"/>
      <c r="I28" s="302" t="s">
        <v>1986</v>
      </c>
      <c r="J28" s="704">
        <f>IF('JMF SHEET PG 1'!$J$30&lt;&gt;"",'JMF SHEET PG 1'!$J$30,"")</f>
        <v>3.1</v>
      </c>
      <c r="K28" s="704"/>
      <c r="L28" s="704"/>
      <c r="M28" s="704"/>
      <c r="N28" s="704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353"/>
      <c r="Z28" s="353"/>
      <c r="AA28" s="353"/>
      <c r="AB28" s="353"/>
      <c r="AC28" s="353"/>
      <c r="AD28" s="353"/>
      <c r="AE28" s="353"/>
      <c r="AF28" s="300"/>
      <c r="AG28" s="302" t="s">
        <v>2009</v>
      </c>
      <c r="AH28" s="734" t="s">
        <v>335</v>
      </c>
      <c r="AI28" s="734"/>
      <c r="AJ28" s="734"/>
      <c r="AK28" s="734"/>
      <c r="AL28" s="734"/>
      <c r="AM28" s="353"/>
      <c r="AN28" s="353"/>
      <c r="AO28" s="353"/>
    </row>
    <row r="29" spans="1:41" ht="14" customHeight="1" x14ac:dyDescent="0.25">
      <c r="A29" s="353"/>
      <c r="B29" s="353"/>
      <c r="C29" s="353"/>
      <c r="D29" s="353"/>
      <c r="E29" s="353"/>
      <c r="F29" s="353"/>
      <c r="G29" s="353"/>
      <c r="H29" s="353"/>
      <c r="I29" s="302" t="s">
        <v>1988</v>
      </c>
      <c r="J29" s="735">
        <v>0</v>
      </c>
      <c r="K29" s="736"/>
      <c r="L29" s="736"/>
      <c r="M29" s="736"/>
      <c r="N29" s="737"/>
      <c r="O29" s="353"/>
      <c r="P29" s="353"/>
      <c r="Q29" s="353"/>
      <c r="R29" s="353"/>
      <c r="S29" s="353"/>
      <c r="T29" s="353"/>
      <c r="U29" s="353"/>
      <c r="V29" s="353"/>
      <c r="W29" s="353"/>
      <c r="X29" s="353"/>
      <c r="Y29" s="353"/>
      <c r="Z29" s="353"/>
      <c r="AA29" s="353"/>
      <c r="AB29" s="353"/>
      <c r="AC29" s="353"/>
      <c r="AD29" s="353"/>
      <c r="AE29" s="353"/>
      <c r="AF29" s="300"/>
      <c r="AG29" s="302" t="s">
        <v>2010</v>
      </c>
      <c r="AH29" s="738" t="s">
        <v>335</v>
      </c>
      <c r="AI29" s="739"/>
      <c r="AJ29" s="739"/>
      <c r="AK29" s="739"/>
      <c r="AL29" s="740"/>
      <c r="AM29" s="353"/>
      <c r="AN29" s="353"/>
      <c r="AO29" s="353"/>
    </row>
    <row r="30" spans="1:41" ht="14" customHeight="1" x14ac:dyDescent="0.25">
      <c r="A30" s="353"/>
      <c r="B30" s="353"/>
      <c r="C30" s="353"/>
      <c r="D30" s="353"/>
      <c r="E30" s="353"/>
      <c r="F30" s="353"/>
      <c r="G30" s="353"/>
      <c r="H30" s="353"/>
      <c r="I30" s="302" t="s">
        <v>1989</v>
      </c>
      <c r="J30" s="710">
        <f>IF('JMF SHEET PG 1'!$J$29&lt;&gt;"",'JMF SHEET PG 1'!$J$29,"")</f>
        <v>1.9</v>
      </c>
      <c r="K30" s="711"/>
      <c r="L30" s="711"/>
      <c r="M30" s="711"/>
      <c r="N30" s="712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3"/>
      <c r="AD30" s="353"/>
      <c r="AE30" s="353"/>
      <c r="AF30" s="300"/>
      <c r="AG30" s="302" t="s">
        <v>2011</v>
      </c>
      <c r="AH30" s="710">
        <f>IF('JMF SHEET PG 1'!$AB$62&lt;&gt;"",'JMF SHEET PG 1'!$AB$62,"")</f>
        <v>150</v>
      </c>
      <c r="AI30" s="711"/>
      <c r="AJ30" s="711"/>
      <c r="AK30" s="711"/>
      <c r="AL30" s="712"/>
      <c r="AM30" s="353"/>
      <c r="AN30" s="353"/>
      <c r="AO30" s="353"/>
    </row>
    <row r="31" spans="1:41" ht="14" customHeight="1" x14ac:dyDescent="0.25">
      <c r="A31" s="353"/>
      <c r="B31" s="353"/>
      <c r="C31" s="353"/>
      <c r="D31" s="353"/>
      <c r="E31" s="353"/>
      <c r="F31" s="353"/>
      <c r="G31" s="353"/>
      <c r="H31" s="353"/>
      <c r="I31" s="360" t="s">
        <v>1991</v>
      </c>
      <c r="J31" s="730" t="str">
        <f>IF('JMF SHEET PG 2'!$A$34&gt;0,'JMF SHEET PG 2'!$H$34,"")</f>
        <v>Method 2</v>
      </c>
      <c r="K31" s="730"/>
      <c r="L31" s="730"/>
      <c r="M31" s="730"/>
      <c r="N31" s="730"/>
      <c r="O31" s="353"/>
      <c r="P31" s="353"/>
      <c r="Q31" s="353"/>
      <c r="R31" s="353"/>
      <c r="S31" s="353"/>
      <c r="T31" s="353"/>
      <c r="U31" s="353"/>
      <c r="V31" s="353"/>
      <c r="W31" s="353"/>
      <c r="X31" s="353"/>
      <c r="Y31" s="353"/>
      <c r="Z31" s="353"/>
      <c r="AA31" s="353"/>
      <c r="AB31" s="353"/>
      <c r="AC31" s="353"/>
      <c r="AD31" s="353"/>
      <c r="AE31" s="353"/>
      <c r="AF31" s="300"/>
      <c r="AG31" s="302" t="s">
        <v>2012</v>
      </c>
      <c r="AH31" s="710">
        <f>IF('JMF SHEET PG 1'!$AB$64&lt;&gt;"",'JMF SHEET PG 1'!$AB$64,"")</f>
        <v>60</v>
      </c>
      <c r="AI31" s="711"/>
      <c r="AJ31" s="711"/>
      <c r="AK31" s="711"/>
      <c r="AL31" s="712"/>
      <c r="AM31" s="353"/>
      <c r="AN31" s="353"/>
      <c r="AO31" s="353"/>
    </row>
    <row r="32" spans="1:41" ht="14" customHeight="1" x14ac:dyDescent="0.25">
      <c r="A32" s="353"/>
      <c r="B32" s="353"/>
      <c r="C32" s="353"/>
      <c r="D32" s="353"/>
      <c r="E32" s="353"/>
      <c r="F32" s="353"/>
      <c r="G32" s="353"/>
      <c r="H32" s="353"/>
      <c r="I32" s="360" t="s">
        <v>1993</v>
      </c>
      <c r="J32" s="708" t="str">
        <f>IF('JMF SHEET PG 2'!$A$34&gt;0,'JMF SHEET PG 2'!$M$34,"")</f>
        <v>2024-HMA Mix USA-Plt #21-Columbus-9/16"-GR-A</v>
      </c>
      <c r="K32" s="708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353"/>
      <c r="Z32" s="353"/>
      <c r="AA32" s="353"/>
      <c r="AB32" s="353"/>
      <c r="AC32" s="353"/>
      <c r="AD32" s="353"/>
      <c r="AE32" s="353"/>
      <c r="AF32" s="300"/>
      <c r="AG32" s="302" t="s">
        <v>2013</v>
      </c>
      <c r="AH32" s="710">
        <f>IF('JMF SHEET PG 1'!$Z$71&lt;&gt;"",'JMF SHEET PG 1'!$Z$71,"")</f>
        <v>4</v>
      </c>
      <c r="AI32" s="711"/>
      <c r="AJ32" s="711"/>
      <c r="AK32" s="711"/>
      <c r="AL32" s="712"/>
      <c r="AM32" s="353"/>
      <c r="AN32" s="353"/>
      <c r="AO32" s="353"/>
    </row>
    <row r="33" spans="1:41" ht="14" customHeight="1" x14ac:dyDescent="0.25">
      <c r="A33" s="353"/>
      <c r="B33" s="353"/>
      <c r="C33" s="353"/>
      <c r="D33" s="353"/>
      <c r="E33" s="353"/>
      <c r="F33" s="353"/>
      <c r="G33" s="353"/>
      <c r="H33" s="353"/>
      <c r="I33" s="360" t="s">
        <v>1995</v>
      </c>
      <c r="J33" s="726">
        <f>IF('JMF SHEET PG 2'!$A$34&gt;0,'JMF SHEET PG 2'!$D$34,"")</f>
        <v>5.4</v>
      </c>
      <c r="K33" s="727"/>
      <c r="L33" s="727"/>
      <c r="M33" s="727"/>
      <c r="N33" s="728"/>
      <c r="O33" s="353"/>
      <c r="P33" s="353"/>
      <c r="Q33" s="353"/>
      <c r="R33" s="353"/>
      <c r="S33" s="353"/>
      <c r="T33" s="353"/>
      <c r="U33" s="353"/>
      <c r="V33" s="353"/>
      <c r="W33" s="353"/>
      <c r="X33" s="353"/>
      <c r="Y33" s="353"/>
      <c r="Z33" s="353"/>
      <c r="AA33" s="353"/>
      <c r="AB33" s="353"/>
      <c r="AC33" s="353"/>
      <c r="AD33" s="353"/>
      <c r="AE33" s="353"/>
      <c r="AF33" s="300"/>
      <c r="AG33" s="302" t="s">
        <v>2014</v>
      </c>
      <c r="AH33" s="731">
        <f>IF('JMF SHEET PG 1'!$Z$73&lt;&gt;"",'JMF SHEET PG 1'!$Z$73,"")</f>
        <v>17870</v>
      </c>
      <c r="AI33" s="732"/>
      <c r="AJ33" s="732"/>
      <c r="AK33" s="732"/>
      <c r="AL33" s="733"/>
      <c r="AM33" s="353"/>
      <c r="AN33" s="353"/>
      <c r="AO33" s="353"/>
    </row>
    <row r="34" spans="1:41" ht="14" customHeight="1" x14ac:dyDescent="0.25">
      <c r="A34" s="353"/>
      <c r="B34" s="353"/>
      <c r="C34" s="353"/>
      <c r="D34" s="353"/>
      <c r="E34" s="353"/>
      <c r="F34" s="353"/>
      <c r="G34" s="353"/>
      <c r="H34" s="353"/>
      <c r="I34" s="360" t="s">
        <v>1996</v>
      </c>
      <c r="J34" s="708" t="str">
        <f>IF('JMF SHEET PG 2'!$A$35&gt;0,'JMF SHEET PG 2'!$M$35,"")</f>
        <v/>
      </c>
      <c r="K34" s="708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353"/>
      <c r="Z34" s="353"/>
      <c r="AA34" s="353"/>
      <c r="AB34" s="353"/>
      <c r="AC34" s="353"/>
      <c r="AD34" s="353"/>
      <c r="AE34" s="353"/>
      <c r="AF34" s="300"/>
      <c r="AG34" s="302" t="s">
        <v>2015</v>
      </c>
      <c r="AH34" s="725" t="s">
        <v>335</v>
      </c>
      <c r="AI34" s="725"/>
      <c r="AJ34" s="725"/>
      <c r="AK34" s="725"/>
      <c r="AL34" s="725"/>
      <c r="AM34" s="353"/>
      <c r="AN34" s="353"/>
      <c r="AO34" s="353"/>
    </row>
    <row r="35" spans="1:41" ht="14" customHeight="1" x14ac:dyDescent="0.25">
      <c r="A35" s="353"/>
      <c r="B35" s="353"/>
      <c r="C35" s="353"/>
      <c r="D35" s="353"/>
      <c r="E35" s="353"/>
      <c r="F35" s="353"/>
      <c r="G35" s="353"/>
      <c r="H35" s="353"/>
      <c r="I35" s="360" t="s">
        <v>1998</v>
      </c>
      <c r="J35" s="726" t="str">
        <f>IF('JMF SHEET PG 2'!$A$35&gt;0,'JMF SHEET PG 2'!$D$35,"")</f>
        <v/>
      </c>
      <c r="K35" s="727"/>
      <c r="L35" s="727"/>
      <c r="M35" s="727"/>
      <c r="N35" s="728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353"/>
      <c r="Z35" s="353"/>
      <c r="AA35" s="353"/>
      <c r="AB35" s="353"/>
      <c r="AC35" s="353"/>
      <c r="AD35" s="353"/>
      <c r="AE35" s="353"/>
      <c r="AF35" s="353"/>
      <c r="AG35" s="360" t="s">
        <v>2016</v>
      </c>
      <c r="AH35" s="725" t="s">
        <v>335</v>
      </c>
      <c r="AI35" s="725"/>
      <c r="AJ35" s="725"/>
      <c r="AK35" s="725"/>
      <c r="AL35" s="725"/>
      <c r="AM35" s="353"/>
      <c r="AN35" s="353"/>
      <c r="AO35" s="353"/>
    </row>
    <row r="36" spans="1:41" ht="14" customHeight="1" x14ac:dyDescent="0.25">
      <c r="A36" s="353"/>
      <c r="B36" s="353"/>
      <c r="C36" s="353"/>
      <c r="D36" s="353"/>
      <c r="E36" s="353"/>
      <c r="F36" s="353"/>
      <c r="G36" s="353"/>
      <c r="H36" s="353"/>
      <c r="I36" s="360" t="s">
        <v>2000</v>
      </c>
      <c r="J36" s="708" t="str">
        <f>IF('JMF SHEET PG 2'!$A$36&gt;0,'JMF SHEET PG 2'!$M$36,"")</f>
        <v/>
      </c>
      <c r="K36" s="708"/>
      <c r="L36" s="708"/>
      <c r="M36" s="708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353"/>
      <c r="Z36" s="353"/>
      <c r="AA36" s="353"/>
      <c r="AB36" s="353"/>
      <c r="AC36" s="353"/>
      <c r="AD36" s="353"/>
      <c r="AE36" s="353"/>
      <c r="AF36" s="353"/>
      <c r="AG36" s="360" t="s">
        <v>2017</v>
      </c>
      <c r="AH36" s="729" t="s">
        <v>335</v>
      </c>
      <c r="AI36" s="729"/>
      <c r="AJ36" s="729"/>
      <c r="AK36" s="729"/>
      <c r="AL36" s="729"/>
      <c r="AM36" s="353"/>
      <c r="AN36" s="353"/>
      <c r="AO36" s="353"/>
    </row>
    <row r="37" spans="1:41" ht="14" customHeight="1" x14ac:dyDescent="0.25">
      <c r="A37" s="353"/>
      <c r="B37" s="353"/>
      <c r="C37" s="353"/>
      <c r="D37" s="353"/>
      <c r="E37" s="353"/>
      <c r="F37" s="353"/>
      <c r="G37" s="353"/>
      <c r="H37" s="353"/>
      <c r="I37" s="360" t="s">
        <v>2002</v>
      </c>
      <c r="J37" s="722" t="str">
        <f>IF('JMF SHEET PG 2'!$A$36&gt;0,'JMF SHEET PG 2'!$D$36,"")</f>
        <v/>
      </c>
      <c r="K37" s="723"/>
      <c r="L37" s="723"/>
      <c r="M37" s="723"/>
      <c r="N37" s="724"/>
      <c r="O37" s="353"/>
      <c r="P37" s="353"/>
      <c r="Q37" s="353"/>
      <c r="R37" s="353"/>
      <c r="S37" s="353"/>
      <c r="T37" s="353"/>
      <c r="U37" s="353"/>
      <c r="V37" s="353"/>
      <c r="W37" s="353"/>
      <c r="X37" s="353"/>
      <c r="Y37" s="353"/>
      <c r="Z37" s="353"/>
      <c r="AA37" s="353"/>
      <c r="AB37" s="353"/>
      <c r="AC37" s="353"/>
      <c r="AD37" s="360"/>
      <c r="AE37" s="353"/>
      <c r="AF37" s="353"/>
      <c r="AG37" s="353"/>
      <c r="AH37" s="353"/>
      <c r="AI37" s="353"/>
      <c r="AJ37" s="353"/>
      <c r="AK37" s="353"/>
      <c r="AL37" s="353"/>
      <c r="AM37" s="353"/>
      <c r="AN37" s="353"/>
      <c r="AO37" s="353"/>
    </row>
    <row r="38" spans="1:41" ht="14" customHeight="1" x14ac:dyDescent="0.25">
      <c r="A38" s="353"/>
      <c r="B38" s="353"/>
      <c r="C38" s="353"/>
      <c r="D38" s="353"/>
      <c r="E38" s="353"/>
      <c r="F38" s="353"/>
      <c r="G38" s="353"/>
      <c r="H38" s="353"/>
      <c r="I38" s="360" t="s">
        <v>2004</v>
      </c>
      <c r="J38" s="705">
        <f>IF('JMF SHEET PG 1'!$AD$28&lt;&gt;"",'JMF SHEET PG 1'!$AD$28,"")</f>
        <v>300</v>
      </c>
      <c r="K38" s="705"/>
      <c r="L38" s="705"/>
      <c r="M38" s="705"/>
      <c r="N38" s="705"/>
      <c r="O38" s="353"/>
      <c r="P38" s="353"/>
      <c r="Q38" s="353"/>
      <c r="R38" s="353"/>
      <c r="S38" s="353"/>
      <c r="T38" s="353"/>
      <c r="U38" s="353"/>
      <c r="V38" s="353"/>
      <c r="W38" s="353"/>
      <c r="X38" s="353"/>
      <c r="Y38" s="353"/>
      <c r="Z38" s="353"/>
      <c r="AA38" s="353"/>
      <c r="AB38" s="353"/>
      <c r="AC38" s="353"/>
      <c r="AD38" s="360"/>
      <c r="AE38" s="353"/>
      <c r="AF38" s="353"/>
      <c r="AG38" s="353"/>
      <c r="AH38" s="353"/>
      <c r="AI38" s="353"/>
      <c r="AJ38" s="353"/>
      <c r="AK38" s="353"/>
      <c r="AL38" s="353"/>
      <c r="AM38" s="353"/>
      <c r="AN38" s="353"/>
      <c r="AO38" s="353"/>
    </row>
    <row r="39" spans="1:41" ht="14" customHeight="1" x14ac:dyDescent="0.25">
      <c r="A39" s="353"/>
      <c r="B39" s="353"/>
      <c r="C39" s="353"/>
      <c r="D39" s="353"/>
      <c r="E39" s="353"/>
      <c r="F39" s="353"/>
      <c r="G39" s="353"/>
      <c r="H39" s="353"/>
      <c r="I39" s="360" t="s">
        <v>2006</v>
      </c>
      <c r="J39" s="705">
        <f>IF('JMF SHEET PG 1'!$AD$29&lt;&gt;"",'JMF SHEET PG 1'!$AD$29,"")</f>
        <v>275</v>
      </c>
      <c r="K39" s="705"/>
      <c r="L39" s="705"/>
      <c r="M39" s="705"/>
      <c r="N39" s="705"/>
      <c r="O39" s="353"/>
      <c r="P39" s="353"/>
      <c r="Q39" s="353"/>
      <c r="R39" s="353"/>
      <c r="S39" s="353"/>
      <c r="T39" s="353"/>
      <c r="U39" s="353"/>
      <c r="V39" s="353"/>
      <c r="W39" s="353"/>
      <c r="X39" s="353"/>
      <c r="Y39" s="353"/>
      <c r="Z39" s="353"/>
      <c r="AA39" s="353"/>
      <c r="AB39" s="353"/>
      <c r="AC39" s="353"/>
      <c r="AD39" s="363"/>
      <c r="AE39" s="353"/>
      <c r="AF39" s="353"/>
      <c r="AG39" s="353"/>
      <c r="AH39" s="353"/>
      <c r="AI39" s="353"/>
      <c r="AJ39" s="353"/>
      <c r="AK39" s="353"/>
      <c r="AL39" s="353"/>
      <c r="AM39" s="353"/>
      <c r="AN39" s="353"/>
      <c r="AO39" s="353"/>
    </row>
    <row r="40" spans="1:41" ht="14" customHeight="1" x14ac:dyDescent="0.25">
      <c r="A40" s="353"/>
      <c r="B40" s="353"/>
      <c r="C40" s="353"/>
      <c r="D40" s="353"/>
      <c r="E40" s="353"/>
      <c r="F40" s="353"/>
      <c r="G40" s="353"/>
      <c r="H40" s="353"/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353"/>
      <c r="Z40" s="353"/>
      <c r="AA40" s="353"/>
      <c r="AB40" s="353"/>
      <c r="AC40" s="353"/>
      <c r="AD40" s="353"/>
      <c r="AE40" s="353"/>
      <c r="AF40" s="353"/>
      <c r="AG40" s="353"/>
      <c r="AH40" s="353"/>
      <c r="AI40" s="353"/>
      <c r="AJ40" s="353"/>
      <c r="AK40" s="353"/>
      <c r="AL40" s="353"/>
      <c r="AM40" s="353"/>
      <c r="AN40" s="353"/>
      <c r="AO40" s="353"/>
    </row>
    <row r="41" spans="1:41" ht="14" customHeight="1" x14ac:dyDescent="0.25">
      <c r="A41" s="353"/>
      <c r="B41" s="353"/>
      <c r="C41" s="361" t="s">
        <v>2018</v>
      </c>
      <c r="D41" s="353"/>
      <c r="E41" s="353"/>
      <c r="F41" s="353"/>
      <c r="G41" s="353"/>
      <c r="H41" s="353"/>
      <c r="I41" s="353"/>
      <c r="J41" s="353"/>
      <c r="K41" s="353"/>
      <c r="L41" s="353"/>
      <c r="M41" s="353"/>
      <c r="N41" s="353"/>
      <c r="O41" s="353"/>
      <c r="P41" s="353"/>
      <c r="Q41" s="353"/>
      <c r="R41" s="353"/>
      <c r="S41" s="353"/>
      <c r="T41" s="353"/>
      <c r="U41" s="353"/>
      <c r="V41" s="353"/>
      <c r="W41" s="353"/>
      <c r="X41" s="353"/>
      <c r="Y41" s="353"/>
      <c r="Z41" s="353"/>
      <c r="AA41" s="353"/>
      <c r="AB41" s="353"/>
      <c r="AC41" s="353"/>
      <c r="AD41" s="353"/>
      <c r="AE41" s="353"/>
      <c r="AF41" s="353"/>
      <c r="AG41" s="353"/>
      <c r="AH41" s="353"/>
      <c r="AI41" s="353"/>
      <c r="AJ41" s="353"/>
      <c r="AK41" s="353"/>
      <c r="AL41" s="353"/>
      <c r="AM41" s="353"/>
      <c r="AN41" s="353"/>
      <c r="AO41" s="353"/>
    </row>
    <row r="42" spans="1:41" ht="14" customHeight="1" x14ac:dyDescent="0.25">
      <c r="A42" s="353"/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353"/>
      <c r="AF42" s="353"/>
      <c r="AG42" s="353"/>
      <c r="AH42" s="353"/>
      <c r="AI42" s="353"/>
      <c r="AJ42" s="353"/>
      <c r="AK42" s="353"/>
      <c r="AL42" s="353"/>
      <c r="AM42" s="353"/>
      <c r="AN42" s="353"/>
      <c r="AO42" s="353"/>
    </row>
    <row r="43" spans="1:41" ht="14" customHeight="1" x14ac:dyDescent="0.25">
      <c r="A43" s="353"/>
      <c r="B43" s="353"/>
      <c r="C43" s="353" t="s">
        <v>2019</v>
      </c>
      <c r="D43" s="353"/>
      <c r="E43" s="353"/>
      <c r="F43" s="353"/>
      <c r="G43" s="353"/>
      <c r="H43" s="353" t="s">
        <v>2020</v>
      </c>
      <c r="I43" s="353"/>
      <c r="J43" s="353"/>
      <c r="K43" s="353"/>
      <c r="L43" s="353"/>
      <c r="M43" s="353" t="s">
        <v>2021</v>
      </c>
      <c r="N43" s="353"/>
      <c r="O43" s="353"/>
      <c r="P43" s="353"/>
      <c r="Q43" s="353"/>
      <c r="R43" s="353"/>
      <c r="S43" s="353" t="s">
        <v>2022</v>
      </c>
      <c r="T43" s="353"/>
      <c r="U43" s="353"/>
      <c r="V43" s="353"/>
      <c r="W43" s="353"/>
      <c r="X43" s="353"/>
      <c r="Y43" s="353"/>
      <c r="Z43" s="353"/>
      <c r="AA43" s="353"/>
      <c r="AB43" s="353"/>
      <c r="AC43" s="353"/>
      <c r="AD43" s="353"/>
      <c r="AE43" s="353"/>
      <c r="AF43" s="353"/>
      <c r="AG43" s="353"/>
      <c r="AH43" s="353"/>
      <c r="AI43" s="353"/>
      <c r="AJ43" s="353"/>
      <c r="AK43" s="353"/>
      <c r="AL43" s="353"/>
      <c r="AM43" s="353"/>
      <c r="AN43" s="353"/>
      <c r="AO43" s="353"/>
    </row>
    <row r="44" spans="1:41" ht="14" customHeight="1" x14ac:dyDescent="0.25">
      <c r="A44" s="353"/>
      <c r="B44" s="353"/>
      <c r="C44" s="353"/>
      <c r="D44" s="353"/>
      <c r="E44" s="353"/>
      <c r="F44" s="353"/>
      <c r="G44" s="353"/>
      <c r="H44" s="708" t="str">
        <f>IF('JMF SHEET PG 2'!$A$15&gt;0,IF('JMF SHEET PG 2'!$AE$15="SD2/SD5","04SD5 or 04SD5M",IF(OR('JMF SHEET PG 2'!$AE$15="SD2",'JMF SHEET PG 2'!$AE$15="SD2M"),"02"&amp;'JMF SHEET PG 2'!$AE$15,"04"&amp;'JMF SHEET PG 2'!$AE$15)),"")</f>
        <v>04057</v>
      </c>
      <c r="I44" s="708"/>
      <c r="J44" s="708"/>
      <c r="K44" s="708"/>
      <c r="L44" s="708"/>
      <c r="M44" s="717" t="str">
        <f>IF('JMF SHEET PG 2'!$A$15&gt;0,'JMF SHEET PG 2'!$D$15,"")</f>
        <v>49971-01</v>
      </c>
      <c r="N44" s="718"/>
      <c r="O44" s="718"/>
      <c r="P44" s="718"/>
      <c r="Q44" s="718"/>
      <c r="R44" s="719"/>
      <c r="S44" s="708" t="str">
        <f>IF('JMF SHEET PG 2'!$A$15&gt;0,'JMF SHEET PG 2'!$H$15,"")</f>
        <v>Hot Mix USA Crushed Stone - Columbus, OH</v>
      </c>
      <c r="T44" s="708"/>
      <c r="U44" s="708"/>
      <c r="V44" s="708"/>
      <c r="W44" s="708"/>
      <c r="X44" s="708"/>
      <c r="Y44" s="708"/>
      <c r="Z44" s="708"/>
      <c r="AA44" s="708"/>
      <c r="AB44" s="708"/>
      <c r="AC44" s="708"/>
      <c r="AD44" s="708"/>
      <c r="AE44" s="708"/>
      <c r="AF44" s="708"/>
      <c r="AG44" s="708"/>
      <c r="AH44" s="708"/>
      <c r="AI44" s="708"/>
      <c r="AJ44" s="708"/>
      <c r="AK44" s="353"/>
      <c r="AL44" s="353"/>
      <c r="AM44" s="353"/>
      <c r="AN44" s="353"/>
      <c r="AO44" s="353"/>
    </row>
    <row r="45" spans="1:41" ht="14" customHeight="1" x14ac:dyDescent="0.25">
      <c r="A45" s="353"/>
      <c r="B45" s="353"/>
      <c r="C45" s="353"/>
      <c r="D45" s="353"/>
      <c r="E45" s="353"/>
      <c r="F45" s="353"/>
      <c r="G45" s="353"/>
      <c r="H45" s="353" t="s">
        <v>2023</v>
      </c>
      <c r="I45" s="353"/>
      <c r="J45" s="353"/>
      <c r="K45" s="353"/>
      <c r="L45" s="353"/>
      <c r="M45" s="353" t="s">
        <v>2024</v>
      </c>
      <c r="N45" s="353"/>
      <c r="O45" s="353"/>
      <c r="P45" s="353"/>
      <c r="Q45" s="353"/>
      <c r="R45" s="353"/>
      <c r="S45" s="353" t="s">
        <v>2025</v>
      </c>
      <c r="T45" s="353"/>
      <c r="U45" s="353"/>
      <c r="V45" s="353"/>
      <c r="W45" s="353"/>
      <c r="X45" s="353"/>
      <c r="Y45" s="353"/>
      <c r="Z45" s="353" t="s">
        <v>2026</v>
      </c>
      <c r="AA45" s="353"/>
      <c r="AB45" s="353"/>
      <c r="AC45" s="353"/>
      <c r="AD45" s="353"/>
      <c r="AE45" s="353"/>
      <c r="AF45" s="353"/>
      <c r="AG45" s="353" t="s">
        <v>2027</v>
      </c>
      <c r="AH45" s="353"/>
      <c r="AI45" s="353"/>
      <c r="AJ45" s="353"/>
      <c r="AK45" s="353"/>
      <c r="AL45" s="353"/>
      <c r="AM45" s="353"/>
      <c r="AN45" s="353"/>
      <c r="AO45" s="353"/>
    </row>
    <row r="46" spans="1:41" ht="14" customHeight="1" x14ac:dyDescent="0.25">
      <c r="A46" s="353"/>
      <c r="B46" s="353"/>
      <c r="C46" s="353"/>
      <c r="D46" s="353"/>
      <c r="E46" s="353"/>
      <c r="F46" s="353"/>
      <c r="G46" s="353"/>
      <c r="H46" s="704">
        <f>IF('JMF SHEET PG 2'!$A$15&gt;0,'JMF SHEET PG 2'!$A$15,"")</f>
        <v>30</v>
      </c>
      <c r="I46" s="704"/>
      <c r="J46" s="704"/>
      <c r="K46" s="704"/>
      <c r="L46" s="704"/>
      <c r="M46" s="714">
        <f>IF('JMF SHEET PG 2'!$A$15&gt;0,'JMF SHEET PG 2'!$AJ$15,"")</f>
        <v>2.6509999999999998</v>
      </c>
      <c r="N46" s="715"/>
      <c r="O46" s="715"/>
      <c r="P46" s="715"/>
      <c r="Q46" s="715"/>
      <c r="R46" s="716"/>
      <c r="S46" s="720" t="s">
        <v>335</v>
      </c>
      <c r="T46" s="720"/>
      <c r="U46" s="720"/>
      <c r="V46" s="720"/>
      <c r="W46" s="720"/>
      <c r="X46" s="720"/>
      <c r="Y46" s="720"/>
      <c r="Z46" s="720" t="s">
        <v>335</v>
      </c>
      <c r="AA46" s="720"/>
      <c r="AB46" s="720"/>
      <c r="AC46" s="720"/>
      <c r="AD46" s="720"/>
      <c r="AE46" s="720"/>
      <c r="AF46" s="720"/>
      <c r="AG46" s="720" t="s">
        <v>335</v>
      </c>
      <c r="AH46" s="720"/>
      <c r="AI46" s="720"/>
      <c r="AJ46" s="720"/>
      <c r="AK46" s="720"/>
      <c r="AL46" s="720"/>
      <c r="AM46" s="720"/>
      <c r="AN46" s="353"/>
      <c r="AO46" s="353"/>
    </row>
    <row r="47" spans="1:41" ht="8" customHeight="1" x14ac:dyDescent="0.25">
      <c r="A47" s="353"/>
      <c r="B47" s="353"/>
      <c r="C47" s="353"/>
      <c r="D47" s="353"/>
      <c r="E47" s="353"/>
      <c r="F47" s="353"/>
      <c r="G47" s="353"/>
      <c r="H47" s="353"/>
      <c r="I47" s="353"/>
      <c r="J47" s="353"/>
      <c r="K47" s="353"/>
      <c r="L47" s="353"/>
      <c r="M47" s="353"/>
      <c r="N47" s="353"/>
      <c r="O47" s="353"/>
      <c r="P47" s="353"/>
      <c r="Q47" s="353"/>
      <c r="R47" s="353"/>
      <c r="S47" s="353"/>
      <c r="T47" s="353"/>
      <c r="U47" s="353"/>
      <c r="V47" s="353"/>
      <c r="W47" s="353"/>
      <c r="X47" s="353"/>
      <c r="Y47" s="353"/>
      <c r="Z47" s="353"/>
      <c r="AA47" s="353"/>
      <c r="AB47" s="353"/>
      <c r="AC47" s="353"/>
      <c r="AD47" s="353"/>
      <c r="AE47" s="353"/>
      <c r="AF47" s="353"/>
      <c r="AG47" s="353"/>
      <c r="AH47" s="353"/>
      <c r="AI47" s="353"/>
      <c r="AJ47" s="353"/>
      <c r="AK47" s="353"/>
      <c r="AL47" s="353"/>
      <c r="AM47" s="353"/>
      <c r="AN47" s="353"/>
      <c r="AO47" s="353"/>
    </row>
    <row r="48" spans="1:41" ht="14" customHeight="1" x14ac:dyDescent="0.25">
      <c r="A48" s="353"/>
      <c r="B48" s="353"/>
      <c r="C48" s="353" t="s">
        <v>2028</v>
      </c>
      <c r="D48" s="353"/>
      <c r="E48" s="353"/>
      <c r="F48" s="353"/>
      <c r="G48" s="353"/>
      <c r="H48" s="353" t="s">
        <v>2020</v>
      </c>
      <c r="I48" s="353"/>
      <c r="J48" s="353"/>
      <c r="K48" s="353"/>
      <c r="L48" s="353"/>
      <c r="M48" s="353" t="s">
        <v>2021</v>
      </c>
      <c r="N48" s="353"/>
      <c r="O48" s="353"/>
      <c r="P48" s="353"/>
      <c r="Q48" s="353"/>
      <c r="R48" s="353"/>
      <c r="S48" s="353" t="s">
        <v>2022</v>
      </c>
      <c r="T48" s="353"/>
      <c r="U48" s="353"/>
      <c r="V48" s="353"/>
      <c r="W48" s="353"/>
      <c r="X48" s="353"/>
      <c r="Y48" s="353"/>
      <c r="Z48" s="353"/>
      <c r="AA48" s="353"/>
      <c r="AB48" s="353"/>
      <c r="AC48" s="353"/>
      <c r="AD48" s="353"/>
      <c r="AE48" s="353"/>
      <c r="AF48" s="353"/>
      <c r="AG48" s="353"/>
      <c r="AH48" s="353"/>
      <c r="AI48" s="353"/>
      <c r="AJ48" s="353"/>
      <c r="AK48" s="353"/>
      <c r="AL48" s="353"/>
      <c r="AM48" s="353"/>
      <c r="AN48" s="353"/>
      <c r="AO48" s="353"/>
    </row>
    <row r="49" spans="1:41" ht="14" customHeight="1" x14ac:dyDescent="0.25">
      <c r="A49" s="353"/>
      <c r="B49" s="353"/>
      <c r="C49" s="353"/>
      <c r="D49" s="353"/>
      <c r="E49" s="353"/>
      <c r="F49" s="353"/>
      <c r="G49" s="353"/>
      <c r="H49" s="708" t="str">
        <f>IF('JMF SHEET PG 2'!$A$16&gt;0,IF('JMF SHEET PG 2'!$AE$16="SD2/SD5","04SD5 or 04SD5M",IF(OR('JMF SHEET PG 2'!$AE$16="SD2",'JMF SHEET PG 2'!$AE$16="SD2M"),"02"&amp;'JMF SHEET PG 2'!$AE$16,"04"&amp;'JMF SHEET PG 2'!$AE$16)),"")</f>
        <v>04008</v>
      </c>
      <c r="I49" s="708"/>
      <c r="J49" s="708"/>
      <c r="K49" s="708"/>
      <c r="L49" s="708"/>
      <c r="M49" s="717" t="str">
        <f>IF('JMF SHEET PG 2'!$A$16&gt;0,'JMF SHEET PG 2'!$D$16,"")</f>
        <v>49985-01</v>
      </c>
      <c r="N49" s="718"/>
      <c r="O49" s="718"/>
      <c r="P49" s="718"/>
      <c r="Q49" s="718"/>
      <c r="R49" s="719"/>
      <c r="S49" s="708" t="str">
        <f>IF('JMF SHEET PG 2'!$A$16&gt;0,'JMF SHEET PG 2'!$H$16,"")</f>
        <v>Hot Mix USA Natural Stone - Columbus, OH</v>
      </c>
      <c r="T49" s="708"/>
      <c r="U49" s="708"/>
      <c r="V49" s="708"/>
      <c r="W49" s="708"/>
      <c r="X49" s="708"/>
      <c r="Y49" s="708"/>
      <c r="Z49" s="708"/>
      <c r="AA49" s="708"/>
      <c r="AB49" s="708"/>
      <c r="AC49" s="708"/>
      <c r="AD49" s="708"/>
      <c r="AE49" s="708"/>
      <c r="AF49" s="708"/>
      <c r="AG49" s="708"/>
      <c r="AH49" s="708"/>
      <c r="AI49" s="708"/>
      <c r="AJ49" s="708"/>
      <c r="AK49" s="353"/>
      <c r="AL49" s="353"/>
      <c r="AM49" s="353"/>
      <c r="AN49" s="353"/>
      <c r="AO49" s="353"/>
    </row>
    <row r="50" spans="1:41" ht="14" customHeight="1" x14ac:dyDescent="0.25">
      <c r="A50" s="353"/>
      <c r="B50" s="353"/>
      <c r="C50" s="353"/>
      <c r="D50" s="353"/>
      <c r="E50" s="353"/>
      <c r="F50" s="353"/>
      <c r="G50" s="353"/>
      <c r="H50" s="353" t="s">
        <v>2023</v>
      </c>
      <c r="I50" s="353"/>
      <c r="J50" s="353"/>
      <c r="K50" s="353"/>
      <c r="L50" s="353"/>
      <c r="M50" s="353" t="s">
        <v>2024</v>
      </c>
      <c r="N50" s="353"/>
      <c r="O50" s="353"/>
      <c r="P50" s="353"/>
      <c r="Q50" s="353"/>
      <c r="R50" s="353"/>
      <c r="S50" s="353" t="s">
        <v>2025</v>
      </c>
      <c r="T50" s="353"/>
      <c r="U50" s="353"/>
      <c r="V50" s="353"/>
      <c r="W50" s="353"/>
      <c r="X50" s="353"/>
      <c r="Y50" s="353"/>
      <c r="Z50" s="353" t="s">
        <v>2026</v>
      </c>
      <c r="AA50" s="353"/>
      <c r="AB50" s="353"/>
      <c r="AC50" s="353"/>
      <c r="AD50" s="353"/>
      <c r="AE50" s="353"/>
      <c r="AF50" s="353"/>
      <c r="AG50" s="353" t="s">
        <v>2027</v>
      </c>
      <c r="AH50" s="353"/>
      <c r="AI50" s="353"/>
      <c r="AJ50" s="353"/>
      <c r="AK50" s="353"/>
      <c r="AL50" s="353"/>
      <c r="AM50" s="353"/>
      <c r="AN50" s="353"/>
      <c r="AO50" s="353"/>
    </row>
    <row r="51" spans="1:41" ht="14" customHeight="1" x14ac:dyDescent="0.25">
      <c r="A51" s="353"/>
      <c r="B51" s="353"/>
      <c r="C51" s="353"/>
      <c r="D51" s="353"/>
      <c r="E51" s="353"/>
      <c r="F51" s="353"/>
      <c r="G51" s="353"/>
      <c r="H51" s="704">
        <f>IF('JMF SHEET PG 2'!$A$16&gt;0,'JMF SHEET PG 2'!$A$16,"")</f>
        <v>12</v>
      </c>
      <c r="I51" s="704"/>
      <c r="J51" s="704"/>
      <c r="K51" s="704"/>
      <c r="L51" s="704"/>
      <c r="M51" s="714">
        <f>IF('JMF SHEET PG 2'!$A$16&gt;0,'JMF SHEET PG 2'!$AJ$16,"")</f>
        <v>2.6240000000000001</v>
      </c>
      <c r="N51" s="715"/>
      <c r="O51" s="715"/>
      <c r="P51" s="715"/>
      <c r="Q51" s="715"/>
      <c r="R51" s="716"/>
      <c r="S51" s="720" t="s">
        <v>335</v>
      </c>
      <c r="T51" s="720"/>
      <c r="U51" s="720"/>
      <c r="V51" s="720"/>
      <c r="W51" s="720"/>
      <c r="X51" s="720"/>
      <c r="Y51" s="720"/>
      <c r="Z51" s="720" t="s">
        <v>335</v>
      </c>
      <c r="AA51" s="720"/>
      <c r="AB51" s="720"/>
      <c r="AC51" s="720"/>
      <c r="AD51" s="720"/>
      <c r="AE51" s="720"/>
      <c r="AF51" s="720"/>
      <c r="AG51" s="720" t="s">
        <v>335</v>
      </c>
      <c r="AH51" s="720"/>
      <c r="AI51" s="720"/>
      <c r="AJ51" s="720"/>
      <c r="AK51" s="720"/>
      <c r="AL51" s="720"/>
      <c r="AM51" s="720"/>
      <c r="AN51" s="353"/>
      <c r="AO51" s="353"/>
    </row>
    <row r="52" spans="1:41" ht="8" customHeight="1" x14ac:dyDescent="0.25">
      <c r="A52" s="353"/>
      <c r="B52" s="353"/>
      <c r="C52" s="353"/>
      <c r="D52" s="353"/>
      <c r="E52" s="353"/>
      <c r="F52" s="353"/>
      <c r="G52" s="353"/>
      <c r="H52" s="353"/>
      <c r="I52" s="353"/>
      <c r="J52" s="353"/>
      <c r="K52" s="353"/>
      <c r="L52" s="353"/>
      <c r="M52" s="353"/>
      <c r="N52" s="353"/>
      <c r="O52" s="353"/>
      <c r="P52" s="353"/>
      <c r="Q52" s="353"/>
      <c r="R52" s="353"/>
      <c r="S52" s="353"/>
      <c r="T52" s="353"/>
      <c r="U52" s="353"/>
      <c r="V52" s="353"/>
      <c r="W52" s="353"/>
      <c r="X52" s="353"/>
      <c r="Y52" s="353"/>
      <c r="Z52" s="353"/>
      <c r="AA52" s="353"/>
      <c r="AB52" s="353"/>
      <c r="AC52" s="353"/>
      <c r="AD52" s="353"/>
      <c r="AE52" s="353"/>
      <c r="AF52" s="353"/>
      <c r="AG52" s="353"/>
      <c r="AH52" s="353"/>
      <c r="AI52" s="353"/>
      <c r="AJ52" s="353"/>
      <c r="AK52" s="353"/>
      <c r="AL52" s="353"/>
      <c r="AM52" s="353"/>
      <c r="AN52" s="353"/>
      <c r="AO52" s="353"/>
    </row>
    <row r="53" spans="1:41" ht="14" customHeight="1" x14ac:dyDescent="0.25">
      <c r="A53" s="353"/>
      <c r="B53" s="353"/>
      <c r="C53" s="353" t="s">
        <v>2029</v>
      </c>
      <c r="D53" s="353"/>
      <c r="E53" s="353"/>
      <c r="F53" s="353"/>
      <c r="G53" s="353"/>
      <c r="H53" s="353" t="s">
        <v>2020</v>
      </c>
      <c r="I53" s="353"/>
      <c r="J53" s="353"/>
      <c r="K53" s="353"/>
      <c r="L53" s="353"/>
      <c r="M53" s="353" t="s">
        <v>2021</v>
      </c>
      <c r="N53" s="353"/>
      <c r="O53" s="353"/>
      <c r="P53" s="353"/>
      <c r="Q53" s="353"/>
      <c r="R53" s="353"/>
      <c r="S53" s="353" t="s">
        <v>2022</v>
      </c>
      <c r="T53" s="353"/>
      <c r="U53" s="353"/>
      <c r="V53" s="353"/>
      <c r="W53" s="353"/>
      <c r="X53" s="353"/>
      <c r="Y53" s="353"/>
      <c r="Z53" s="353"/>
      <c r="AA53" s="353"/>
      <c r="AB53" s="353"/>
      <c r="AC53" s="353"/>
      <c r="AD53" s="353"/>
      <c r="AE53" s="353"/>
      <c r="AF53" s="353"/>
      <c r="AG53" s="353"/>
      <c r="AH53" s="353"/>
      <c r="AI53" s="353"/>
      <c r="AJ53" s="353"/>
      <c r="AK53" s="353"/>
      <c r="AL53" s="353"/>
      <c r="AM53" s="353"/>
      <c r="AN53" s="353"/>
      <c r="AO53" s="353"/>
    </row>
    <row r="54" spans="1:41" ht="14" customHeight="1" x14ac:dyDescent="0.25">
      <c r="A54" s="353"/>
      <c r="B54" s="353"/>
      <c r="C54" s="353"/>
      <c r="D54" s="353"/>
      <c r="E54" s="353"/>
      <c r="F54" s="353"/>
      <c r="G54" s="353"/>
      <c r="H54" s="708" t="str">
        <f>IF('JMF SHEET PG 2'!$A$17&gt;0,IF('JMF SHEET PG 2'!$AE$17="SD2/SD5","04SD5 or 04SD5M",IF(OR('JMF SHEET PG 2'!$AE$17="SD2",'JMF SHEET PG 2'!$AE$17="SD2M"),"02"&amp;'JMF SHEET PG 2'!$AE$17,"04"&amp;'JMF SHEET PG 2'!$AE$17)),"")</f>
        <v/>
      </c>
      <c r="I54" s="708"/>
      <c r="J54" s="708"/>
      <c r="K54" s="708"/>
      <c r="L54" s="708"/>
      <c r="M54" s="717" t="str">
        <f>IF('JMF SHEET PG 2'!$A$17&gt;0,'JMF SHEET PG 2'!$D$17,"")</f>
        <v/>
      </c>
      <c r="N54" s="718"/>
      <c r="O54" s="718"/>
      <c r="P54" s="718"/>
      <c r="Q54" s="718"/>
      <c r="R54" s="719"/>
      <c r="S54" s="708" t="str">
        <f>IF('JMF SHEET PG 2'!$A$17&gt;0,'JMF SHEET PG 2'!$H$17,"")</f>
        <v/>
      </c>
      <c r="T54" s="708"/>
      <c r="U54" s="708"/>
      <c r="V54" s="708"/>
      <c r="W54" s="708"/>
      <c r="X54" s="708"/>
      <c r="Y54" s="708"/>
      <c r="Z54" s="708"/>
      <c r="AA54" s="708"/>
      <c r="AB54" s="708"/>
      <c r="AC54" s="708"/>
      <c r="AD54" s="708"/>
      <c r="AE54" s="708"/>
      <c r="AF54" s="708"/>
      <c r="AG54" s="708"/>
      <c r="AH54" s="708"/>
      <c r="AI54" s="708"/>
      <c r="AJ54" s="708"/>
      <c r="AK54" s="353"/>
      <c r="AL54" s="353"/>
      <c r="AM54" s="353"/>
      <c r="AN54" s="353"/>
      <c r="AO54" s="353"/>
    </row>
    <row r="55" spans="1:41" ht="14" customHeight="1" x14ac:dyDescent="0.25">
      <c r="A55" s="353"/>
      <c r="B55" s="353"/>
      <c r="C55" s="353"/>
      <c r="D55" s="353"/>
      <c r="E55" s="353"/>
      <c r="F55" s="353"/>
      <c r="G55" s="353"/>
      <c r="H55" s="353" t="s">
        <v>2023</v>
      </c>
      <c r="I55" s="353"/>
      <c r="J55" s="353"/>
      <c r="K55" s="353"/>
      <c r="L55" s="353"/>
      <c r="M55" s="353" t="s">
        <v>2024</v>
      </c>
      <c r="N55" s="353"/>
      <c r="O55" s="353"/>
      <c r="P55" s="353"/>
      <c r="Q55" s="353"/>
      <c r="R55" s="353"/>
      <c r="S55" s="353" t="s">
        <v>2025</v>
      </c>
      <c r="T55" s="353"/>
      <c r="U55" s="353"/>
      <c r="V55" s="353"/>
      <c r="W55" s="353"/>
      <c r="X55" s="353"/>
      <c r="Y55" s="353"/>
      <c r="Z55" s="353" t="s">
        <v>2026</v>
      </c>
      <c r="AA55" s="353"/>
      <c r="AB55" s="353"/>
      <c r="AC55" s="353"/>
      <c r="AD55" s="353"/>
      <c r="AE55" s="353"/>
      <c r="AF55" s="353"/>
      <c r="AG55" s="353" t="s">
        <v>2027</v>
      </c>
      <c r="AH55" s="353"/>
      <c r="AI55" s="353"/>
      <c r="AJ55" s="353"/>
      <c r="AK55" s="353"/>
      <c r="AL55" s="353"/>
      <c r="AM55" s="353"/>
      <c r="AN55" s="353"/>
      <c r="AO55" s="353"/>
    </row>
    <row r="56" spans="1:41" ht="14" customHeight="1" x14ac:dyDescent="0.25">
      <c r="A56" s="353"/>
      <c r="B56" s="353"/>
      <c r="C56" s="353"/>
      <c r="D56" s="353"/>
      <c r="E56" s="353"/>
      <c r="F56" s="353"/>
      <c r="G56" s="353"/>
      <c r="H56" s="704" t="str">
        <f>IF('JMF SHEET PG 2'!$A$17&gt;0,'JMF SHEET PG 2'!$A$17,"")</f>
        <v/>
      </c>
      <c r="I56" s="704"/>
      <c r="J56" s="704"/>
      <c r="K56" s="704"/>
      <c r="L56" s="704"/>
      <c r="M56" s="714" t="str">
        <f>IF('JMF SHEET PG 2'!$A$17&gt;0,'JMF SHEET PG 2'!$AJ$17,"")</f>
        <v/>
      </c>
      <c r="N56" s="715"/>
      <c r="O56" s="715"/>
      <c r="P56" s="715"/>
      <c r="Q56" s="715"/>
      <c r="R56" s="716"/>
      <c r="S56" s="720" t="s">
        <v>335</v>
      </c>
      <c r="T56" s="720"/>
      <c r="U56" s="720"/>
      <c r="V56" s="720"/>
      <c r="W56" s="720"/>
      <c r="X56" s="720"/>
      <c r="Y56" s="720"/>
      <c r="Z56" s="720" t="s">
        <v>335</v>
      </c>
      <c r="AA56" s="720"/>
      <c r="AB56" s="720"/>
      <c r="AC56" s="720"/>
      <c r="AD56" s="720"/>
      <c r="AE56" s="720"/>
      <c r="AF56" s="720"/>
      <c r="AG56" s="720" t="s">
        <v>335</v>
      </c>
      <c r="AH56" s="720"/>
      <c r="AI56" s="720"/>
      <c r="AJ56" s="720"/>
      <c r="AK56" s="720"/>
      <c r="AL56" s="720"/>
      <c r="AM56" s="720"/>
      <c r="AN56" s="353"/>
      <c r="AO56" s="353"/>
    </row>
    <row r="57" spans="1:41" ht="8" customHeight="1" x14ac:dyDescent="0.25">
      <c r="A57" s="353"/>
      <c r="B57" s="353"/>
      <c r="C57" s="353"/>
      <c r="D57" s="353"/>
      <c r="E57" s="353"/>
      <c r="F57" s="353"/>
      <c r="G57" s="353"/>
      <c r="H57" s="353"/>
      <c r="I57" s="353"/>
      <c r="J57" s="353"/>
      <c r="K57" s="353"/>
      <c r="L57" s="353"/>
      <c r="M57" s="353"/>
      <c r="N57" s="353"/>
      <c r="O57" s="353"/>
      <c r="P57" s="353"/>
      <c r="Q57" s="353"/>
      <c r="R57" s="353"/>
      <c r="S57" s="353"/>
      <c r="T57" s="353"/>
      <c r="U57" s="353"/>
      <c r="V57" s="353"/>
      <c r="W57" s="353"/>
      <c r="X57" s="353"/>
      <c r="Y57" s="353"/>
      <c r="Z57" s="353"/>
      <c r="AA57" s="353"/>
      <c r="AB57" s="353"/>
      <c r="AC57" s="353"/>
      <c r="AD57" s="353"/>
      <c r="AE57" s="353"/>
      <c r="AF57" s="353"/>
      <c r="AG57" s="353"/>
      <c r="AH57" s="353"/>
      <c r="AI57" s="353"/>
      <c r="AJ57" s="353"/>
      <c r="AK57" s="353"/>
      <c r="AL57" s="353"/>
      <c r="AM57" s="353"/>
      <c r="AN57" s="353"/>
      <c r="AO57" s="353"/>
    </row>
    <row r="58" spans="1:41" ht="14" customHeight="1" x14ac:dyDescent="0.25">
      <c r="A58" s="353"/>
      <c r="B58" s="353"/>
      <c r="C58" s="353" t="s">
        <v>2030</v>
      </c>
      <c r="D58" s="353"/>
      <c r="E58" s="353"/>
      <c r="F58" s="353"/>
      <c r="G58" s="353"/>
      <c r="H58" s="353" t="s">
        <v>2020</v>
      </c>
      <c r="I58" s="353"/>
      <c r="J58" s="353"/>
      <c r="K58" s="353"/>
      <c r="L58" s="353"/>
      <c r="M58" s="353" t="s">
        <v>2021</v>
      </c>
      <c r="N58" s="353"/>
      <c r="O58" s="353"/>
      <c r="P58" s="353"/>
      <c r="Q58" s="353"/>
      <c r="R58" s="353"/>
      <c r="S58" s="353" t="s">
        <v>2022</v>
      </c>
      <c r="T58" s="353"/>
      <c r="U58" s="353"/>
      <c r="V58" s="353"/>
      <c r="W58" s="353"/>
      <c r="X58" s="353"/>
      <c r="Y58" s="353"/>
      <c r="Z58" s="353"/>
      <c r="AA58" s="353"/>
      <c r="AB58" s="353"/>
      <c r="AC58" s="353"/>
      <c r="AD58" s="353"/>
      <c r="AE58" s="353"/>
      <c r="AF58" s="353"/>
      <c r="AG58" s="353"/>
      <c r="AH58" s="353"/>
      <c r="AI58" s="353"/>
      <c r="AJ58" s="353"/>
      <c r="AK58" s="353"/>
      <c r="AL58" s="353"/>
      <c r="AM58" s="353"/>
      <c r="AN58" s="353"/>
      <c r="AO58" s="353"/>
    </row>
    <row r="59" spans="1:41" ht="14" customHeight="1" x14ac:dyDescent="0.25">
      <c r="A59" s="353"/>
      <c r="B59" s="353"/>
      <c r="C59" s="353"/>
      <c r="D59" s="353"/>
      <c r="E59" s="353"/>
      <c r="F59" s="353"/>
      <c r="G59" s="353"/>
      <c r="H59" s="708" t="str">
        <f>IF('JMF SHEET PG 2'!$A$18&gt;0,IF('JMF SHEET PG 2'!$AE$18="SD2/SD5","04SD5 or 04SD5M",IF(OR('JMF SHEET PG 2'!$AE$18="SD2",'JMF SHEET PG 2'!$AE$18="SD2M"),"02"&amp;'JMF SHEET PG 2'!$AE$18,"04"&amp;'JMF SHEET PG 2'!$AE$18)),"")</f>
        <v/>
      </c>
      <c r="I59" s="708"/>
      <c r="J59" s="708"/>
      <c r="K59" s="708"/>
      <c r="L59" s="708"/>
      <c r="M59" s="717" t="str">
        <f>IF('JMF SHEET PG 2'!$A$18&gt;0,'JMF SHEET PG 2'!$D$18,"")</f>
        <v/>
      </c>
      <c r="N59" s="718"/>
      <c r="O59" s="718"/>
      <c r="P59" s="718"/>
      <c r="Q59" s="718"/>
      <c r="R59" s="719"/>
      <c r="S59" s="708" t="str">
        <f>IF('JMF SHEET PG 2'!$A$18&gt;0,'JMF SHEET PG 2'!$H$18,"")</f>
        <v/>
      </c>
      <c r="T59" s="708"/>
      <c r="U59" s="708"/>
      <c r="V59" s="708"/>
      <c r="W59" s="708"/>
      <c r="X59" s="708"/>
      <c r="Y59" s="708"/>
      <c r="Z59" s="708"/>
      <c r="AA59" s="708"/>
      <c r="AB59" s="708"/>
      <c r="AC59" s="708"/>
      <c r="AD59" s="708"/>
      <c r="AE59" s="708"/>
      <c r="AF59" s="708"/>
      <c r="AG59" s="708"/>
      <c r="AH59" s="708"/>
      <c r="AI59" s="708"/>
      <c r="AJ59" s="708"/>
      <c r="AK59" s="353"/>
      <c r="AL59" s="353"/>
      <c r="AM59" s="353"/>
      <c r="AN59" s="353"/>
      <c r="AO59" s="353"/>
    </row>
    <row r="60" spans="1:41" ht="14" customHeight="1" x14ac:dyDescent="0.25">
      <c r="A60" s="353"/>
      <c r="B60" s="353"/>
      <c r="C60" s="353"/>
      <c r="D60" s="353"/>
      <c r="E60" s="353"/>
      <c r="F60" s="353"/>
      <c r="G60" s="353"/>
      <c r="H60" s="353" t="s">
        <v>2023</v>
      </c>
      <c r="I60" s="353"/>
      <c r="J60" s="353"/>
      <c r="K60" s="353"/>
      <c r="L60" s="353"/>
      <c r="M60" s="353" t="s">
        <v>2024</v>
      </c>
      <c r="N60" s="353"/>
      <c r="O60" s="353"/>
      <c r="P60" s="353"/>
      <c r="Q60" s="353"/>
      <c r="R60" s="353"/>
      <c r="S60" s="353" t="s">
        <v>2025</v>
      </c>
      <c r="T60" s="353"/>
      <c r="U60" s="353"/>
      <c r="V60" s="353"/>
      <c r="W60" s="353"/>
      <c r="X60" s="353"/>
      <c r="Y60" s="353"/>
      <c r="Z60" s="353" t="s">
        <v>2026</v>
      </c>
      <c r="AA60" s="353"/>
      <c r="AB60" s="353"/>
      <c r="AC60" s="353"/>
      <c r="AD60" s="353"/>
      <c r="AE60" s="353"/>
      <c r="AF60" s="353"/>
      <c r="AG60" s="353" t="s">
        <v>2027</v>
      </c>
      <c r="AH60" s="353"/>
      <c r="AI60" s="353"/>
      <c r="AJ60" s="353"/>
      <c r="AK60" s="353"/>
      <c r="AL60" s="353"/>
      <c r="AM60" s="353"/>
      <c r="AN60" s="353"/>
      <c r="AO60" s="353"/>
    </row>
    <row r="61" spans="1:41" ht="14" customHeight="1" x14ac:dyDescent="0.25">
      <c r="A61" s="353"/>
      <c r="B61" s="353"/>
      <c r="C61" s="353"/>
      <c r="D61" s="353"/>
      <c r="E61" s="353"/>
      <c r="F61" s="353"/>
      <c r="G61" s="353"/>
      <c r="H61" s="704" t="str">
        <f>IF('JMF SHEET PG 2'!$A$18&gt;0,'JMF SHEET PG 2'!$A$18,"")</f>
        <v/>
      </c>
      <c r="I61" s="704"/>
      <c r="J61" s="704"/>
      <c r="K61" s="704"/>
      <c r="L61" s="704"/>
      <c r="M61" s="714" t="str">
        <f>IF('JMF SHEET PG 2'!$A$18&gt;0,'JMF SHEET PG 2'!$AJ$18,"")</f>
        <v/>
      </c>
      <c r="N61" s="715"/>
      <c r="O61" s="715"/>
      <c r="P61" s="715"/>
      <c r="Q61" s="715"/>
      <c r="R61" s="716"/>
      <c r="S61" s="720" t="s">
        <v>335</v>
      </c>
      <c r="T61" s="720"/>
      <c r="U61" s="720"/>
      <c r="V61" s="720"/>
      <c r="W61" s="720"/>
      <c r="X61" s="720"/>
      <c r="Y61" s="720"/>
      <c r="Z61" s="720" t="s">
        <v>335</v>
      </c>
      <c r="AA61" s="720"/>
      <c r="AB61" s="720"/>
      <c r="AC61" s="720"/>
      <c r="AD61" s="720"/>
      <c r="AE61" s="720"/>
      <c r="AF61" s="720"/>
      <c r="AG61" s="720" t="s">
        <v>335</v>
      </c>
      <c r="AH61" s="720"/>
      <c r="AI61" s="720"/>
      <c r="AJ61" s="720"/>
      <c r="AK61" s="720"/>
      <c r="AL61" s="720"/>
      <c r="AM61" s="720"/>
      <c r="AN61" s="353"/>
      <c r="AO61" s="353"/>
    </row>
    <row r="62" spans="1:41" ht="14" customHeight="1" x14ac:dyDescent="0.25">
      <c r="A62" s="353"/>
      <c r="B62" s="353"/>
      <c r="C62" s="364"/>
      <c r="D62" s="364"/>
      <c r="E62" s="364"/>
      <c r="F62" s="364"/>
      <c r="G62" s="364"/>
      <c r="H62" s="364"/>
      <c r="I62" s="364"/>
      <c r="J62" s="364"/>
      <c r="K62" s="364"/>
      <c r="L62" s="364"/>
      <c r="M62" s="364"/>
      <c r="N62" s="364"/>
      <c r="O62" s="364"/>
      <c r="P62" s="364"/>
      <c r="Q62" s="364"/>
      <c r="R62" s="364"/>
      <c r="S62" s="364"/>
      <c r="T62" s="364"/>
      <c r="U62" s="364"/>
      <c r="V62" s="364"/>
      <c r="W62" s="364"/>
      <c r="X62" s="364"/>
      <c r="Y62" s="364"/>
      <c r="Z62" s="364"/>
      <c r="AA62" s="364"/>
      <c r="AB62" s="364"/>
      <c r="AC62" s="364"/>
      <c r="AD62" s="364"/>
      <c r="AE62" s="364"/>
      <c r="AF62" s="364"/>
      <c r="AG62" s="364"/>
      <c r="AH62" s="364"/>
      <c r="AI62" s="364"/>
      <c r="AJ62" s="364"/>
      <c r="AK62" s="364"/>
      <c r="AL62" s="364"/>
      <c r="AM62" s="364"/>
      <c r="AN62" s="353"/>
      <c r="AO62" s="353"/>
    </row>
    <row r="63" spans="1:41" ht="14" customHeight="1" x14ac:dyDescent="0.25">
      <c r="A63" s="353"/>
      <c r="B63" s="353"/>
      <c r="C63" s="353"/>
      <c r="D63" s="353"/>
      <c r="E63" s="353"/>
      <c r="F63" s="353"/>
      <c r="G63" s="353"/>
      <c r="H63" s="353"/>
      <c r="I63" s="353"/>
      <c r="J63" s="353"/>
      <c r="K63" s="353"/>
      <c r="L63" s="353"/>
      <c r="M63" s="353"/>
      <c r="N63" s="353"/>
      <c r="O63" s="353"/>
      <c r="P63" s="353"/>
      <c r="Q63" s="353"/>
      <c r="R63" s="353"/>
      <c r="S63" s="353"/>
      <c r="T63" s="353"/>
      <c r="U63" s="353"/>
      <c r="V63" s="353"/>
      <c r="W63" s="353"/>
      <c r="X63" s="353"/>
      <c r="Y63" s="353"/>
      <c r="Z63" s="353"/>
      <c r="AA63" s="353"/>
      <c r="AB63" s="353"/>
      <c r="AC63" s="353"/>
      <c r="AD63" s="353"/>
      <c r="AE63" s="353"/>
      <c r="AF63" s="353"/>
      <c r="AG63" s="353"/>
      <c r="AH63" s="353"/>
      <c r="AI63" s="353"/>
      <c r="AJ63" s="353"/>
      <c r="AK63" s="353"/>
      <c r="AL63" s="353"/>
      <c r="AM63" s="353"/>
      <c r="AN63" s="353"/>
      <c r="AO63" s="353"/>
    </row>
    <row r="64" spans="1:41" ht="14" customHeight="1" x14ac:dyDescent="0.25">
      <c r="A64" s="353"/>
      <c r="B64" s="353"/>
      <c r="C64" s="353" t="s">
        <v>2031</v>
      </c>
      <c r="D64" s="353"/>
      <c r="E64" s="353"/>
      <c r="F64" s="353"/>
      <c r="G64" s="353"/>
      <c r="H64" s="353" t="s">
        <v>2020</v>
      </c>
      <c r="I64" s="353"/>
      <c r="J64" s="353"/>
      <c r="K64" s="353"/>
      <c r="L64" s="353"/>
      <c r="M64" s="353" t="s">
        <v>2021</v>
      </c>
      <c r="N64" s="353"/>
      <c r="O64" s="353"/>
      <c r="P64" s="353"/>
      <c r="Q64" s="353"/>
      <c r="R64" s="353"/>
      <c r="S64" s="353" t="s">
        <v>2022</v>
      </c>
      <c r="T64" s="353"/>
      <c r="U64" s="353"/>
      <c r="V64" s="353"/>
      <c r="W64" s="353"/>
      <c r="X64" s="353"/>
      <c r="Y64" s="353"/>
      <c r="Z64" s="353"/>
      <c r="AA64" s="353"/>
      <c r="AB64" s="353"/>
      <c r="AC64" s="353"/>
      <c r="AD64" s="353"/>
      <c r="AE64" s="353"/>
      <c r="AF64" s="353"/>
      <c r="AG64" s="353"/>
      <c r="AH64" s="353"/>
      <c r="AI64" s="353"/>
      <c r="AJ64" s="353"/>
      <c r="AK64" s="353"/>
      <c r="AL64" s="353"/>
      <c r="AM64" s="353"/>
      <c r="AN64" s="353"/>
      <c r="AO64" s="353"/>
    </row>
    <row r="65" spans="1:41" ht="14" customHeight="1" x14ac:dyDescent="0.25">
      <c r="A65" s="353"/>
      <c r="B65" s="353"/>
      <c r="C65" s="353"/>
      <c r="D65" s="353"/>
      <c r="E65" s="353"/>
      <c r="F65" s="353"/>
      <c r="G65" s="353"/>
      <c r="H65" s="708" t="str">
        <f>IF('JMF SHEET PG 2'!$A$23&gt;0,IF('JMF SHEET PG 2'!$AE$23="SD2/SD5","04SD5 or 04SD5M",IF(OR('JMF SHEET PG 2'!$AE$23="SD2",'JMF SHEET PG 2'!$AE$23="SD2M"),"02"&amp;'JMF SHEET PG 2'!$AE$23,"04"&amp;'JMF SHEET PG 2'!$AE$23)),"")</f>
        <v>02SD2</v>
      </c>
      <c r="I65" s="708"/>
      <c r="J65" s="708"/>
      <c r="K65" s="708"/>
      <c r="L65" s="708"/>
      <c r="M65" s="717" t="str">
        <f>IF('JMF SHEET PG 2'!$A$23&gt;0,'JMF SHEET PG 2'!$D$23,"")</f>
        <v>49985-01</v>
      </c>
      <c r="N65" s="718"/>
      <c r="O65" s="718"/>
      <c r="P65" s="718"/>
      <c r="Q65" s="718"/>
      <c r="R65" s="719"/>
      <c r="S65" s="708" t="str">
        <f>IF('JMF SHEET PG 2'!$A$23&gt;0,'JMF SHEET PG 2'!$H$23,"")</f>
        <v>Hot Mix USA Natural Stone - Columbus, OH</v>
      </c>
      <c r="T65" s="708"/>
      <c r="U65" s="708"/>
      <c r="V65" s="708"/>
      <c r="W65" s="708"/>
      <c r="X65" s="708"/>
      <c r="Y65" s="708"/>
      <c r="Z65" s="708"/>
      <c r="AA65" s="708"/>
      <c r="AB65" s="708"/>
      <c r="AC65" s="708"/>
      <c r="AD65" s="708"/>
      <c r="AE65" s="708"/>
      <c r="AF65" s="708"/>
      <c r="AG65" s="708"/>
      <c r="AH65" s="708"/>
      <c r="AI65" s="708"/>
      <c r="AJ65" s="708"/>
      <c r="AK65" s="353"/>
      <c r="AL65" s="353"/>
      <c r="AM65" s="353"/>
      <c r="AN65" s="353"/>
      <c r="AO65" s="353"/>
    </row>
    <row r="66" spans="1:41" ht="14" customHeight="1" x14ac:dyDescent="0.25">
      <c r="A66" s="353"/>
      <c r="B66" s="353"/>
      <c r="C66" s="353"/>
      <c r="D66" s="353"/>
      <c r="E66" s="353"/>
      <c r="F66" s="353"/>
      <c r="G66" s="353"/>
      <c r="H66" s="353" t="s">
        <v>2023</v>
      </c>
      <c r="I66" s="353"/>
      <c r="J66" s="353"/>
      <c r="K66" s="353"/>
      <c r="L66" s="353"/>
      <c r="M66" s="353" t="s">
        <v>2024</v>
      </c>
      <c r="N66" s="353"/>
      <c r="O66" s="353"/>
      <c r="P66" s="353"/>
      <c r="Q66" s="353"/>
      <c r="R66" s="353"/>
      <c r="S66" s="353" t="s">
        <v>2025</v>
      </c>
      <c r="T66" s="353"/>
      <c r="U66" s="353"/>
      <c r="V66" s="353"/>
      <c r="W66" s="353"/>
      <c r="X66" s="353"/>
      <c r="Y66" s="353"/>
      <c r="Z66" s="353" t="s">
        <v>2026</v>
      </c>
      <c r="AA66" s="353"/>
      <c r="AB66" s="353"/>
      <c r="AC66" s="353"/>
      <c r="AD66" s="353"/>
      <c r="AE66" s="353"/>
      <c r="AF66" s="353"/>
      <c r="AG66" s="353" t="s">
        <v>2027</v>
      </c>
      <c r="AH66" s="353"/>
      <c r="AI66" s="353"/>
      <c r="AJ66" s="353"/>
      <c r="AK66" s="353"/>
      <c r="AL66" s="353"/>
      <c r="AM66" s="353"/>
      <c r="AN66" s="353"/>
      <c r="AO66" s="353"/>
    </row>
    <row r="67" spans="1:41" ht="14" customHeight="1" x14ac:dyDescent="0.25">
      <c r="A67" s="353"/>
      <c r="B67" s="353"/>
      <c r="C67" s="353"/>
      <c r="D67" s="353"/>
      <c r="E67" s="353"/>
      <c r="F67" s="353"/>
      <c r="G67" s="353"/>
      <c r="H67" s="704">
        <f>IF('JMF SHEET PG 2'!$A$23&gt;0,'JMF SHEET PG 2'!$A$23,"")</f>
        <v>21</v>
      </c>
      <c r="I67" s="704"/>
      <c r="J67" s="704"/>
      <c r="K67" s="704"/>
      <c r="L67" s="704"/>
      <c r="M67" s="714">
        <f>IF('JMF SHEET PG 2'!$A$23&gt;0,'JMF SHEET PG 2'!$AJ$23,"")</f>
        <v>2.6480000000000001</v>
      </c>
      <c r="N67" s="715"/>
      <c r="O67" s="715"/>
      <c r="P67" s="715"/>
      <c r="Q67" s="715"/>
      <c r="R67" s="716"/>
      <c r="S67" s="720" t="s">
        <v>335</v>
      </c>
      <c r="T67" s="720"/>
      <c r="U67" s="720"/>
      <c r="V67" s="720"/>
      <c r="W67" s="720"/>
      <c r="X67" s="720"/>
      <c r="Y67" s="720"/>
      <c r="Z67" s="720" t="s">
        <v>335</v>
      </c>
      <c r="AA67" s="720"/>
      <c r="AB67" s="720"/>
      <c r="AC67" s="720"/>
      <c r="AD67" s="720"/>
      <c r="AE67" s="720"/>
      <c r="AF67" s="720"/>
      <c r="AG67" s="720" t="s">
        <v>335</v>
      </c>
      <c r="AH67" s="720"/>
      <c r="AI67" s="720"/>
      <c r="AJ67" s="720"/>
      <c r="AK67" s="720"/>
      <c r="AL67" s="720"/>
      <c r="AM67" s="720"/>
      <c r="AN67" s="353"/>
      <c r="AO67" s="353"/>
    </row>
    <row r="68" spans="1:41" ht="8" customHeight="1" x14ac:dyDescent="0.25">
      <c r="A68" s="353"/>
      <c r="B68" s="353"/>
      <c r="C68" s="353"/>
      <c r="D68" s="353"/>
      <c r="E68" s="353"/>
      <c r="F68" s="353"/>
      <c r="G68" s="353"/>
      <c r="H68" s="353"/>
      <c r="I68" s="353"/>
      <c r="J68" s="353"/>
      <c r="K68" s="353"/>
      <c r="L68" s="353"/>
      <c r="M68" s="353"/>
      <c r="N68" s="353"/>
      <c r="O68" s="353"/>
      <c r="P68" s="353"/>
      <c r="Q68" s="353"/>
      <c r="R68" s="353"/>
      <c r="S68" s="353"/>
      <c r="T68" s="353"/>
      <c r="U68" s="353"/>
      <c r="V68" s="353"/>
      <c r="W68" s="353"/>
      <c r="X68" s="353"/>
      <c r="Y68" s="353"/>
      <c r="Z68" s="353"/>
      <c r="AA68" s="353"/>
      <c r="AB68" s="353"/>
      <c r="AC68" s="353"/>
      <c r="AD68" s="353"/>
      <c r="AE68" s="353"/>
      <c r="AF68" s="353"/>
      <c r="AG68" s="353"/>
      <c r="AH68" s="353"/>
      <c r="AI68" s="353"/>
      <c r="AJ68" s="353"/>
      <c r="AK68" s="353"/>
      <c r="AL68" s="353"/>
      <c r="AM68" s="353"/>
      <c r="AN68" s="353"/>
      <c r="AO68" s="353"/>
    </row>
    <row r="69" spans="1:41" ht="14" customHeight="1" x14ac:dyDescent="0.25">
      <c r="A69" s="353"/>
      <c r="B69" s="353"/>
      <c r="C69" s="353" t="s">
        <v>2032</v>
      </c>
      <c r="D69" s="353"/>
      <c r="E69" s="353"/>
      <c r="F69" s="353"/>
      <c r="G69" s="353"/>
      <c r="H69" s="353" t="s">
        <v>2020</v>
      </c>
      <c r="I69" s="353"/>
      <c r="J69" s="353"/>
      <c r="K69" s="353"/>
      <c r="L69" s="353"/>
      <c r="M69" s="353" t="s">
        <v>2021</v>
      </c>
      <c r="N69" s="353"/>
      <c r="O69" s="353"/>
      <c r="P69" s="353"/>
      <c r="Q69" s="353"/>
      <c r="R69" s="353"/>
      <c r="S69" s="353" t="s">
        <v>2022</v>
      </c>
      <c r="T69" s="353"/>
      <c r="U69" s="353"/>
      <c r="V69" s="353"/>
      <c r="W69" s="353"/>
      <c r="X69" s="353"/>
      <c r="Y69" s="353"/>
      <c r="Z69" s="353"/>
      <c r="AA69" s="353"/>
      <c r="AB69" s="353"/>
      <c r="AC69" s="353"/>
      <c r="AD69" s="353"/>
      <c r="AE69" s="353"/>
      <c r="AF69" s="353"/>
      <c r="AG69" s="353"/>
      <c r="AH69" s="353"/>
      <c r="AI69" s="353"/>
      <c r="AJ69" s="353"/>
      <c r="AK69" s="353"/>
      <c r="AL69" s="353"/>
      <c r="AM69" s="353"/>
      <c r="AN69" s="353"/>
      <c r="AO69" s="353"/>
    </row>
    <row r="70" spans="1:41" ht="14" customHeight="1" x14ac:dyDescent="0.25">
      <c r="A70" s="353"/>
      <c r="B70" s="353"/>
      <c r="C70" s="353"/>
      <c r="D70" s="353"/>
      <c r="E70" s="353"/>
      <c r="F70" s="353"/>
      <c r="G70" s="353"/>
      <c r="H70" s="708" t="str">
        <f>IF('JMF SHEET PG 2'!$A$24&gt;0,IF('JMF SHEET PG 2'!$AE$24="SD2/SD5","04SD5 or 04SD5M",IF(OR('JMF SHEET PG 2'!$AE$24="SD2",'JMF SHEET PG 2'!$AE$24="SD2M"),"02"&amp;'JMF SHEET PG 2'!$AE$24,"04"&amp;'JMF SHEET PG 2'!$AE$24)),"")</f>
        <v/>
      </c>
      <c r="I70" s="708"/>
      <c r="J70" s="708"/>
      <c r="K70" s="708"/>
      <c r="L70" s="708"/>
      <c r="M70" s="717" t="str">
        <f>IF('JMF SHEET PG 2'!$A$24&gt;0,'JMF SHEET PG 2'!$D$24,"")</f>
        <v/>
      </c>
      <c r="N70" s="718"/>
      <c r="O70" s="718"/>
      <c r="P70" s="718"/>
      <c r="Q70" s="718"/>
      <c r="R70" s="719"/>
      <c r="S70" s="708" t="str">
        <f>IF('JMF SHEET PG 2'!$A$24&gt;0,'JMF SHEET PG 2'!$H$24,"")</f>
        <v/>
      </c>
      <c r="T70" s="708"/>
      <c r="U70" s="708"/>
      <c r="V70" s="708"/>
      <c r="W70" s="708"/>
      <c r="X70" s="708"/>
      <c r="Y70" s="708"/>
      <c r="Z70" s="708"/>
      <c r="AA70" s="708"/>
      <c r="AB70" s="708"/>
      <c r="AC70" s="708"/>
      <c r="AD70" s="708"/>
      <c r="AE70" s="708"/>
      <c r="AF70" s="708"/>
      <c r="AG70" s="708"/>
      <c r="AH70" s="708"/>
      <c r="AI70" s="708"/>
      <c r="AJ70" s="708"/>
      <c r="AK70" s="353"/>
      <c r="AL70" s="353"/>
      <c r="AM70" s="353"/>
      <c r="AN70" s="353"/>
      <c r="AO70" s="353"/>
    </row>
    <row r="71" spans="1:41" ht="14" customHeight="1" x14ac:dyDescent="0.25">
      <c r="A71" s="353"/>
      <c r="B71" s="353"/>
      <c r="C71" s="353"/>
      <c r="D71" s="353"/>
      <c r="E71" s="353"/>
      <c r="F71" s="353"/>
      <c r="G71" s="353"/>
      <c r="H71" s="353" t="s">
        <v>2023</v>
      </c>
      <c r="I71" s="353"/>
      <c r="J71" s="353"/>
      <c r="K71" s="353"/>
      <c r="L71" s="353"/>
      <c r="M71" s="353" t="s">
        <v>2024</v>
      </c>
      <c r="N71" s="353"/>
      <c r="O71" s="353"/>
      <c r="P71" s="353"/>
      <c r="Q71" s="353"/>
      <c r="R71" s="353"/>
      <c r="S71" s="353" t="s">
        <v>2025</v>
      </c>
      <c r="T71" s="353"/>
      <c r="U71" s="353"/>
      <c r="V71" s="353"/>
      <c r="W71" s="353"/>
      <c r="X71" s="353"/>
      <c r="Y71" s="353"/>
      <c r="Z71" s="353" t="s">
        <v>2026</v>
      </c>
      <c r="AA71" s="353"/>
      <c r="AB71" s="353"/>
      <c r="AC71" s="353"/>
      <c r="AD71" s="353"/>
      <c r="AE71" s="353"/>
      <c r="AF71" s="353"/>
      <c r="AG71" s="353" t="s">
        <v>2027</v>
      </c>
      <c r="AH71" s="353"/>
      <c r="AI71" s="353"/>
      <c r="AJ71" s="353"/>
      <c r="AK71" s="353"/>
      <c r="AL71" s="353"/>
      <c r="AM71" s="353"/>
      <c r="AN71" s="353"/>
      <c r="AO71" s="353"/>
    </row>
    <row r="72" spans="1:41" ht="14" customHeight="1" x14ac:dyDescent="0.25">
      <c r="A72" s="353"/>
      <c r="B72" s="353"/>
      <c r="C72" s="353"/>
      <c r="D72" s="353"/>
      <c r="E72" s="353"/>
      <c r="F72" s="353"/>
      <c r="G72" s="353"/>
      <c r="H72" s="704" t="str">
        <f>IF('JMF SHEET PG 2'!$A$24&gt;0,'JMF SHEET PG 2'!$A$24,"")</f>
        <v/>
      </c>
      <c r="I72" s="704"/>
      <c r="J72" s="704"/>
      <c r="K72" s="704"/>
      <c r="L72" s="704"/>
      <c r="M72" s="714" t="str">
        <f>IF('JMF SHEET PG 2'!$A$24&gt;0,'JMF SHEET PG 2'!$AJ$24,"")</f>
        <v/>
      </c>
      <c r="N72" s="715"/>
      <c r="O72" s="715"/>
      <c r="P72" s="715"/>
      <c r="Q72" s="715"/>
      <c r="R72" s="716"/>
      <c r="S72" s="720" t="s">
        <v>335</v>
      </c>
      <c r="T72" s="720"/>
      <c r="U72" s="720"/>
      <c r="V72" s="720"/>
      <c r="W72" s="720"/>
      <c r="X72" s="720"/>
      <c r="Y72" s="720"/>
      <c r="Z72" s="720" t="s">
        <v>335</v>
      </c>
      <c r="AA72" s="720"/>
      <c r="AB72" s="720"/>
      <c r="AC72" s="720"/>
      <c r="AD72" s="720"/>
      <c r="AE72" s="720"/>
      <c r="AF72" s="720"/>
      <c r="AG72" s="720" t="s">
        <v>335</v>
      </c>
      <c r="AH72" s="720"/>
      <c r="AI72" s="720"/>
      <c r="AJ72" s="720"/>
      <c r="AK72" s="720"/>
      <c r="AL72" s="720"/>
      <c r="AM72" s="720"/>
      <c r="AN72" s="353"/>
      <c r="AO72" s="353"/>
    </row>
    <row r="73" spans="1:41" ht="8" customHeight="1" x14ac:dyDescent="0.25">
      <c r="A73" s="353"/>
      <c r="B73" s="353"/>
      <c r="C73" s="353"/>
      <c r="D73" s="353"/>
      <c r="E73" s="353"/>
      <c r="F73" s="353"/>
      <c r="G73" s="353"/>
      <c r="H73" s="353"/>
      <c r="I73" s="353"/>
      <c r="J73" s="353"/>
      <c r="K73" s="353"/>
      <c r="L73" s="353"/>
      <c r="M73" s="353"/>
      <c r="N73" s="353"/>
      <c r="O73" s="353"/>
      <c r="P73" s="353"/>
      <c r="Q73" s="353"/>
      <c r="R73" s="353"/>
      <c r="S73" s="353"/>
      <c r="T73" s="353"/>
      <c r="U73" s="353"/>
      <c r="V73" s="353"/>
      <c r="W73" s="353"/>
      <c r="X73" s="353"/>
      <c r="Y73" s="353"/>
      <c r="Z73" s="353"/>
      <c r="AA73" s="353"/>
      <c r="AB73" s="353"/>
      <c r="AC73" s="353"/>
      <c r="AD73" s="353"/>
      <c r="AE73" s="353"/>
      <c r="AF73" s="353"/>
      <c r="AG73" s="353"/>
      <c r="AH73" s="353"/>
      <c r="AI73" s="353"/>
      <c r="AJ73" s="353"/>
      <c r="AK73" s="353"/>
      <c r="AL73" s="353"/>
      <c r="AM73" s="353"/>
      <c r="AN73" s="353"/>
      <c r="AO73" s="353"/>
    </row>
    <row r="74" spans="1:41" ht="14" customHeight="1" x14ac:dyDescent="0.25">
      <c r="A74" s="353"/>
      <c r="B74" s="353"/>
      <c r="C74" s="353"/>
      <c r="D74" s="353"/>
      <c r="E74" s="353"/>
      <c r="F74" s="353"/>
      <c r="G74" s="353"/>
      <c r="H74" s="353"/>
      <c r="I74" s="353"/>
      <c r="J74" s="353"/>
      <c r="K74" s="353"/>
      <c r="L74" s="353"/>
      <c r="M74" s="353"/>
      <c r="N74" s="353"/>
      <c r="O74" s="353"/>
      <c r="P74" s="353"/>
      <c r="Q74" s="353"/>
      <c r="R74" s="353"/>
      <c r="S74" s="353"/>
      <c r="T74" s="353"/>
      <c r="U74" s="353"/>
      <c r="V74" s="353"/>
      <c r="W74" s="353"/>
      <c r="X74" s="353"/>
      <c r="Y74" s="353"/>
      <c r="Z74" s="353"/>
      <c r="AA74" s="353"/>
      <c r="AB74" s="353"/>
      <c r="AC74" s="353"/>
      <c r="AD74" s="353"/>
      <c r="AE74" s="353"/>
      <c r="AF74" s="353"/>
      <c r="AG74" s="353"/>
      <c r="AH74" s="353"/>
      <c r="AI74" s="353"/>
      <c r="AJ74" s="353"/>
      <c r="AK74" s="353"/>
      <c r="AL74" s="353"/>
      <c r="AM74" s="353"/>
      <c r="AN74" s="353"/>
      <c r="AO74" s="353"/>
    </row>
    <row r="75" spans="1:41" ht="14" customHeight="1" x14ac:dyDescent="0.25">
      <c r="A75" s="353"/>
      <c r="B75" s="353"/>
      <c r="C75" s="353"/>
      <c r="D75" s="353"/>
      <c r="E75" s="353"/>
      <c r="F75" s="353"/>
      <c r="G75" s="353"/>
      <c r="H75" s="353"/>
      <c r="I75" s="353"/>
      <c r="J75" s="353"/>
      <c r="K75" s="353"/>
      <c r="L75" s="353"/>
      <c r="M75" s="353"/>
      <c r="N75" s="353"/>
      <c r="O75" s="353"/>
      <c r="P75" s="353"/>
      <c r="Q75" s="353"/>
      <c r="R75" s="353"/>
      <c r="S75" s="353"/>
      <c r="T75" s="353"/>
      <c r="U75" s="353"/>
      <c r="V75" s="353"/>
      <c r="W75" s="353"/>
      <c r="X75" s="353"/>
      <c r="Y75" s="353"/>
      <c r="Z75" s="353"/>
      <c r="AA75" s="353"/>
      <c r="AB75" s="353"/>
      <c r="AC75" s="353"/>
      <c r="AD75" s="353"/>
      <c r="AE75" s="353"/>
      <c r="AF75" s="353"/>
      <c r="AG75" s="353"/>
      <c r="AH75" s="353"/>
      <c r="AI75" s="353"/>
      <c r="AJ75" s="353"/>
      <c r="AK75" s="353"/>
      <c r="AL75" s="353"/>
      <c r="AM75" s="355"/>
      <c r="AN75" s="356"/>
      <c r="AO75" s="353"/>
    </row>
    <row r="76" spans="1:41" ht="14" customHeight="1" x14ac:dyDescent="0.25">
      <c r="A76" s="353"/>
      <c r="B76" s="353"/>
      <c r="C76" s="353"/>
      <c r="D76" s="353"/>
      <c r="E76" s="353"/>
      <c r="F76" s="353"/>
      <c r="G76" s="353"/>
      <c r="H76" s="353"/>
      <c r="I76" s="353"/>
      <c r="J76" s="353"/>
      <c r="K76" s="353"/>
      <c r="L76" s="353"/>
      <c r="M76" s="353"/>
      <c r="N76" s="353"/>
      <c r="O76" s="357"/>
      <c r="P76" s="353"/>
      <c r="Q76" s="353"/>
      <c r="R76" s="353"/>
      <c r="S76" s="353"/>
      <c r="T76" s="353"/>
      <c r="U76" s="353"/>
      <c r="V76" s="353"/>
      <c r="W76" s="353"/>
      <c r="X76" s="353"/>
      <c r="Y76" s="353"/>
      <c r="Z76" s="353"/>
      <c r="AA76" s="353"/>
      <c r="AB76" s="353"/>
      <c r="AC76" s="353"/>
      <c r="AD76" s="353"/>
      <c r="AE76" s="353"/>
      <c r="AF76" s="353"/>
      <c r="AG76" s="353"/>
      <c r="AH76" s="353"/>
      <c r="AI76" s="353"/>
      <c r="AJ76" s="353"/>
      <c r="AK76" s="353"/>
      <c r="AL76" s="353"/>
      <c r="AM76" s="358"/>
      <c r="AN76" s="359"/>
      <c r="AO76" s="353"/>
    </row>
    <row r="77" spans="1:41" ht="14" customHeight="1" x14ac:dyDescent="0.25">
      <c r="A77" s="353"/>
      <c r="B77" s="353"/>
      <c r="C77" s="353"/>
      <c r="D77" s="353"/>
      <c r="E77" s="353"/>
      <c r="F77" s="353"/>
      <c r="G77" s="353"/>
      <c r="H77" s="353"/>
      <c r="I77" s="353"/>
      <c r="J77" s="353"/>
      <c r="K77" s="353"/>
      <c r="L77" s="353"/>
      <c r="M77" s="353"/>
      <c r="N77" s="353"/>
      <c r="O77" s="353"/>
      <c r="P77" s="353"/>
      <c r="Q77" s="353"/>
      <c r="R77" s="353"/>
      <c r="S77" s="353"/>
      <c r="T77" s="353"/>
      <c r="U77" s="353"/>
      <c r="V77" s="353"/>
      <c r="W77" s="353"/>
      <c r="X77" s="353"/>
      <c r="Y77" s="353"/>
      <c r="Z77" s="353"/>
      <c r="AA77" s="353"/>
      <c r="AB77" s="353"/>
      <c r="AC77" s="353"/>
      <c r="AD77" s="353"/>
      <c r="AE77" s="353"/>
      <c r="AF77" s="353"/>
      <c r="AG77" s="353"/>
      <c r="AH77" s="353"/>
      <c r="AI77" s="353"/>
      <c r="AJ77" s="353"/>
      <c r="AK77" s="353"/>
      <c r="AL77" s="353"/>
      <c r="AM77" s="353"/>
      <c r="AN77" s="353"/>
      <c r="AO77" s="353"/>
    </row>
    <row r="78" spans="1:41" ht="14" customHeight="1" x14ac:dyDescent="0.25">
      <c r="A78" s="353"/>
      <c r="B78" s="353"/>
      <c r="C78" s="353"/>
      <c r="D78" s="353"/>
      <c r="E78" s="353"/>
      <c r="F78" s="353"/>
      <c r="G78" s="353"/>
      <c r="H78" s="353"/>
      <c r="I78" s="353"/>
      <c r="J78" s="353"/>
      <c r="K78" s="353"/>
      <c r="L78" s="353"/>
      <c r="M78" s="353"/>
      <c r="N78" s="353"/>
      <c r="O78" s="353"/>
      <c r="P78" s="353"/>
      <c r="Q78" s="353"/>
      <c r="R78" s="353"/>
      <c r="S78" s="353"/>
      <c r="T78" s="353"/>
      <c r="U78" s="353"/>
      <c r="V78" s="353"/>
      <c r="W78" s="353"/>
      <c r="X78" s="353"/>
      <c r="Y78" s="353"/>
      <c r="Z78" s="353"/>
      <c r="AA78" s="353"/>
      <c r="AB78" s="353"/>
      <c r="AC78" s="353"/>
      <c r="AD78" s="353"/>
      <c r="AE78" s="353"/>
      <c r="AF78" s="353"/>
      <c r="AG78" s="353"/>
      <c r="AH78" s="353"/>
      <c r="AI78" s="353"/>
      <c r="AJ78" s="353"/>
      <c r="AK78" s="353"/>
      <c r="AL78" s="353"/>
      <c r="AM78" s="353"/>
      <c r="AN78" s="353"/>
      <c r="AO78" s="353"/>
    </row>
    <row r="79" spans="1:41" ht="14" customHeight="1" x14ac:dyDescent="0.25">
      <c r="A79" s="353"/>
      <c r="B79" s="353"/>
      <c r="C79" s="353"/>
      <c r="D79" s="353"/>
      <c r="E79" s="353"/>
      <c r="F79" s="353"/>
      <c r="G79" s="353"/>
      <c r="H79" s="353"/>
      <c r="I79" s="353"/>
      <c r="J79" s="353"/>
      <c r="K79" s="353"/>
      <c r="L79" s="353"/>
      <c r="M79" s="353"/>
      <c r="N79" s="353"/>
      <c r="O79" s="353"/>
      <c r="P79" s="353"/>
      <c r="Q79" s="353"/>
      <c r="R79" s="353"/>
      <c r="S79" s="353"/>
      <c r="T79" s="353"/>
      <c r="U79" s="353"/>
      <c r="V79" s="353"/>
      <c r="W79" s="353"/>
      <c r="X79" s="353"/>
      <c r="Y79" s="353"/>
      <c r="Z79" s="353"/>
      <c r="AA79" s="353"/>
      <c r="AB79" s="353"/>
      <c r="AC79" s="353"/>
      <c r="AD79" s="353"/>
      <c r="AE79" s="353"/>
      <c r="AF79" s="353"/>
      <c r="AG79" s="353"/>
      <c r="AH79" s="353"/>
      <c r="AI79" s="353"/>
      <c r="AJ79" s="353"/>
      <c r="AK79" s="353"/>
      <c r="AL79" s="353"/>
      <c r="AM79" s="353"/>
      <c r="AN79" s="353"/>
      <c r="AO79" s="353"/>
    </row>
    <row r="80" spans="1:41" ht="14" customHeight="1" x14ac:dyDescent="0.35">
      <c r="A80" s="353"/>
      <c r="B80" s="353"/>
      <c r="C80" s="353"/>
      <c r="D80" s="353"/>
      <c r="E80" s="353"/>
      <c r="F80" s="353"/>
      <c r="G80" s="353"/>
      <c r="H80" s="721" t="s">
        <v>2033</v>
      </c>
      <c r="I80" s="721"/>
      <c r="J80" s="721"/>
      <c r="K80" s="721"/>
      <c r="L80" s="721"/>
      <c r="M80" s="721"/>
      <c r="N80" s="721"/>
      <c r="O80" s="721"/>
      <c r="P80" s="721"/>
      <c r="Q80" s="721"/>
      <c r="R80" s="721"/>
      <c r="S80" s="721"/>
      <c r="T80" s="721"/>
      <c r="U80" s="721"/>
      <c r="V80" s="721"/>
      <c r="W80" s="721"/>
      <c r="X80" s="721"/>
      <c r="Y80" s="721"/>
      <c r="Z80" s="721"/>
      <c r="AA80" s="721"/>
      <c r="AB80" s="721"/>
      <c r="AC80" s="721"/>
      <c r="AD80" s="721"/>
      <c r="AE80" s="721"/>
      <c r="AF80" s="721"/>
      <c r="AG80" s="353"/>
      <c r="AH80" s="353"/>
      <c r="AI80" s="353"/>
      <c r="AJ80" s="353"/>
      <c r="AK80" s="353"/>
      <c r="AL80" s="353"/>
      <c r="AM80" s="353"/>
      <c r="AN80" s="353"/>
      <c r="AO80" s="353"/>
    </row>
    <row r="81" spans="1:41" ht="14" customHeight="1" x14ac:dyDescent="0.25">
      <c r="A81" s="353"/>
      <c r="B81" s="353"/>
      <c r="C81" s="353"/>
      <c r="D81" s="353"/>
      <c r="E81" s="353"/>
      <c r="F81" s="353"/>
      <c r="G81" s="353"/>
      <c r="H81" s="353"/>
      <c r="I81" s="353"/>
      <c r="J81" s="353"/>
      <c r="K81" s="353"/>
      <c r="L81" s="353"/>
      <c r="M81" s="353"/>
      <c r="N81" s="353"/>
      <c r="O81" s="353"/>
      <c r="P81" s="353"/>
      <c r="Q81" s="353"/>
      <c r="R81" s="353"/>
      <c r="S81" s="353"/>
      <c r="T81" s="353"/>
      <c r="U81" s="353"/>
      <c r="V81" s="353"/>
      <c r="W81" s="353"/>
      <c r="X81" s="353"/>
      <c r="Y81" s="353"/>
      <c r="Z81" s="353"/>
      <c r="AA81" s="353"/>
      <c r="AB81" s="353"/>
      <c r="AC81" s="353"/>
      <c r="AD81" s="353"/>
      <c r="AE81" s="353"/>
      <c r="AF81" s="353"/>
      <c r="AG81" s="353"/>
      <c r="AH81" s="353"/>
      <c r="AI81" s="353"/>
      <c r="AJ81" s="353"/>
      <c r="AK81" s="353"/>
      <c r="AL81" s="353"/>
      <c r="AM81" s="353"/>
      <c r="AN81" s="353"/>
      <c r="AO81" s="353"/>
    </row>
    <row r="82" spans="1:41" ht="14" customHeight="1" x14ac:dyDescent="0.25">
      <c r="A82" s="353"/>
      <c r="B82" s="353"/>
      <c r="C82" s="353" t="s">
        <v>2034</v>
      </c>
      <c r="D82" s="353"/>
      <c r="E82" s="353"/>
      <c r="F82" s="353"/>
      <c r="G82" s="353"/>
      <c r="H82" s="353" t="s">
        <v>2020</v>
      </c>
      <c r="I82" s="353"/>
      <c r="J82" s="353"/>
      <c r="K82" s="353"/>
      <c r="L82" s="353"/>
      <c r="M82" s="353" t="s">
        <v>2021</v>
      </c>
      <c r="N82" s="353"/>
      <c r="O82" s="353"/>
      <c r="P82" s="353"/>
      <c r="Q82" s="353"/>
      <c r="R82" s="353"/>
      <c r="S82" s="353" t="s">
        <v>2022</v>
      </c>
      <c r="T82" s="353"/>
      <c r="U82" s="353"/>
      <c r="V82" s="353"/>
      <c r="W82" s="353"/>
      <c r="X82" s="353"/>
      <c r="Y82" s="353"/>
      <c r="Z82" s="353"/>
      <c r="AA82" s="353"/>
      <c r="AB82" s="353"/>
      <c r="AC82" s="353"/>
      <c r="AD82" s="353"/>
      <c r="AE82" s="353"/>
      <c r="AF82" s="353"/>
      <c r="AG82" s="353"/>
      <c r="AH82" s="353"/>
      <c r="AI82" s="353"/>
      <c r="AJ82" s="353"/>
      <c r="AK82" s="353"/>
      <c r="AL82" s="353"/>
      <c r="AM82" s="353"/>
      <c r="AN82" s="353"/>
      <c r="AO82" s="353"/>
    </row>
    <row r="83" spans="1:41" ht="14" customHeight="1" x14ac:dyDescent="0.25">
      <c r="A83" s="353"/>
      <c r="B83" s="353"/>
      <c r="C83" s="353"/>
      <c r="D83" s="353"/>
      <c r="E83" s="353"/>
      <c r="F83" s="353"/>
      <c r="G83" s="353"/>
      <c r="H83" s="708" t="str">
        <f>IF('JMF SHEET PG 2'!$A$25&gt;0,IF('JMF SHEET PG 2'!$AE$25="SD2/SD5","04SD5 or 04SD5M",IF(OR('JMF SHEET PG 2'!$AE$25="SD2",'JMF SHEET PG 2'!$AE$25="SD2M"),"02"&amp;'JMF SHEET PG 2'!$AE$25,"04"&amp;'JMF SHEET PG 2'!$AE$25)),"")</f>
        <v/>
      </c>
      <c r="I83" s="708"/>
      <c r="J83" s="708"/>
      <c r="K83" s="708"/>
      <c r="L83" s="708"/>
      <c r="M83" s="717" t="str">
        <f>IF('JMF SHEET PG 2'!$A$25&gt;0,'JMF SHEET PG 2'!$D$25,"")</f>
        <v/>
      </c>
      <c r="N83" s="718"/>
      <c r="O83" s="718"/>
      <c r="P83" s="718"/>
      <c r="Q83" s="718"/>
      <c r="R83" s="719"/>
      <c r="S83" s="708" t="str">
        <f>IF('JMF SHEET PG 2'!$A$25&gt;0,'JMF SHEET PG 2'!$H$25,"")</f>
        <v/>
      </c>
      <c r="T83" s="708"/>
      <c r="U83" s="708"/>
      <c r="V83" s="708"/>
      <c r="W83" s="708"/>
      <c r="X83" s="708"/>
      <c r="Y83" s="708"/>
      <c r="Z83" s="708"/>
      <c r="AA83" s="708"/>
      <c r="AB83" s="708"/>
      <c r="AC83" s="708"/>
      <c r="AD83" s="708"/>
      <c r="AE83" s="708"/>
      <c r="AF83" s="708"/>
      <c r="AG83" s="708"/>
      <c r="AH83" s="708"/>
      <c r="AI83" s="708"/>
      <c r="AJ83" s="708"/>
      <c r="AK83" s="353"/>
      <c r="AL83" s="353"/>
      <c r="AM83" s="353"/>
      <c r="AN83" s="353"/>
      <c r="AO83" s="353"/>
    </row>
    <row r="84" spans="1:41" ht="14" customHeight="1" x14ac:dyDescent="0.25">
      <c r="A84" s="353"/>
      <c r="B84" s="353"/>
      <c r="C84" s="353"/>
      <c r="D84" s="353"/>
      <c r="E84" s="353"/>
      <c r="F84" s="353"/>
      <c r="G84" s="353"/>
      <c r="H84" s="353" t="s">
        <v>2023</v>
      </c>
      <c r="I84" s="353"/>
      <c r="J84" s="353"/>
      <c r="K84" s="353"/>
      <c r="L84" s="353"/>
      <c r="M84" s="353" t="s">
        <v>2024</v>
      </c>
      <c r="N84" s="353"/>
      <c r="O84" s="353"/>
      <c r="P84" s="353"/>
      <c r="Q84" s="353"/>
      <c r="R84" s="353"/>
      <c r="S84" s="353" t="s">
        <v>2025</v>
      </c>
      <c r="T84" s="353"/>
      <c r="U84" s="353"/>
      <c r="V84" s="353"/>
      <c r="W84" s="353"/>
      <c r="X84" s="353"/>
      <c r="Y84" s="353"/>
      <c r="Z84" s="353" t="s">
        <v>2026</v>
      </c>
      <c r="AA84" s="353"/>
      <c r="AB84" s="353"/>
      <c r="AC84" s="353"/>
      <c r="AD84" s="353"/>
      <c r="AE84" s="353"/>
      <c r="AF84" s="353"/>
      <c r="AG84" s="353" t="s">
        <v>2027</v>
      </c>
      <c r="AH84" s="353"/>
      <c r="AI84" s="353"/>
      <c r="AJ84" s="353"/>
      <c r="AK84" s="353"/>
      <c r="AL84" s="353"/>
      <c r="AM84" s="353"/>
      <c r="AN84" s="353"/>
      <c r="AO84" s="353"/>
    </row>
    <row r="85" spans="1:41" ht="14" customHeight="1" x14ac:dyDescent="0.25">
      <c r="A85" s="353"/>
      <c r="B85" s="353"/>
      <c r="C85" s="353"/>
      <c r="D85" s="353"/>
      <c r="E85" s="353"/>
      <c r="F85" s="353"/>
      <c r="G85" s="353"/>
      <c r="H85" s="704" t="str">
        <f>IF('JMF SHEET PG 2'!$A$25&gt;0,'JMF SHEET PG 2'!$A$25,"")</f>
        <v/>
      </c>
      <c r="I85" s="704"/>
      <c r="J85" s="704"/>
      <c r="K85" s="704"/>
      <c r="L85" s="704"/>
      <c r="M85" s="714" t="str">
        <f>IF('JMF SHEET PG 2'!$A$25&gt;0,'JMF SHEET PG 2'!$AJ$25,"")</f>
        <v/>
      </c>
      <c r="N85" s="715"/>
      <c r="O85" s="715"/>
      <c r="P85" s="715"/>
      <c r="Q85" s="715"/>
      <c r="R85" s="716"/>
      <c r="S85" s="720" t="s">
        <v>335</v>
      </c>
      <c r="T85" s="720"/>
      <c r="U85" s="720"/>
      <c r="V85" s="720"/>
      <c r="W85" s="720"/>
      <c r="X85" s="720"/>
      <c r="Y85" s="720"/>
      <c r="Z85" s="720" t="s">
        <v>335</v>
      </c>
      <c r="AA85" s="720"/>
      <c r="AB85" s="720"/>
      <c r="AC85" s="720"/>
      <c r="AD85" s="720"/>
      <c r="AE85" s="720"/>
      <c r="AF85" s="720"/>
      <c r="AG85" s="720" t="s">
        <v>335</v>
      </c>
      <c r="AH85" s="720"/>
      <c r="AI85" s="720"/>
      <c r="AJ85" s="720"/>
      <c r="AK85" s="720"/>
      <c r="AL85" s="720"/>
      <c r="AM85" s="720"/>
      <c r="AN85" s="353"/>
      <c r="AO85" s="353"/>
    </row>
    <row r="86" spans="1:41" ht="8" customHeight="1" x14ac:dyDescent="0.25">
      <c r="A86" s="353"/>
      <c r="B86" s="353"/>
      <c r="C86" s="353"/>
      <c r="D86" s="353"/>
      <c r="E86" s="353"/>
      <c r="F86" s="353"/>
      <c r="G86" s="353"/>
      <c r="H86" s="353"/>
      <c r="I86" s="353"/>
      <c r="J86" s="353"/>
      <c r="K86" s="353"/>
      <c r="L86" s="353"/>
      <c r="M86" s="353"/>
      <c r="N86" s="353"/>
      <c r="O86" s="353"/>
      <c r="P86" s="353"/>
      <c r="Q86" s="353"/>
      <c r="R86" s="353"/>
      <c r="S86" s="353"/>
      <c r="T86" s="353"/>
      <c r="U86" s="353"/>
      <c r="V86" s="353"/>
      <c r="W86" s="353"/>
      <c r="X86" s="353"/>
      <c r="Y86" s="353"/>
      <c r="Z86" s="353"/>
      <c r="AA86" s="353"/>
      <c r="AB86" s="353"/>
      <c r="AC86" s="353"/>
      <c r="AD86" s="353"/>
      <c r="AE86" s="353"/>
      <c r="AF86" s="353"/>
      <c r="AG86" s="353"/>
      <c r="AH86" s="353"/>
      <c r="AI86" s="353"/>
      <c r="AJ86" s="353"/>
      <c r="AK86" s="353"/>
      <c r="AL86" s="353"/>
      <c r="AM86" s="353"/>
      <c r="AN86" s="353"/>
      <c r="AO86" s="353"/>
    </row>
    <row r="87" spans="1:41" ht="14" customHeight="1" x14ac:dyDescent="0.25">
      <c r="A87" s="353"/>
      <c r="B87" s="353"/>
      <c r="C87" s="353" t="s">
        <v>2035</v>
      </c>
      <c r="D87" s="353"/>
      <c r="E87" s="353"/>
      <c r="F87" s="353"/>
      <c r="G87" s="353"/>
      <c r="H87" s="353" t="s">
        <v>2020</v>
      </c>
      <c r="I87" s="353"/>
      <c r="J87" s="353"/>
      <c r="K87" s="353"/>
      <c r="L87" s="353"/>
      <c r="M87" s="353" t="s">
        <v>2021</v>
      </c>
      <c r="N87" s="353"/>
      <c r="O87" s="353"/>
      <c r="P87" s="353"/>
      <c r="Q87" s="353"/>
      <c r="R87" s="353"/>
      <c r="S87" s="353" t="s">
        <v>2022</v>
      </c>
      <c r="T87" s="353"/>
      <c r="U87" s="353"/>
      <c r="V87" s="353"/>
      <c r="W87" s="353"/>
      <c r="X87" s="353"/>
      <c r="Y87" s="353"/>
      <c r="Z87" s="353"/>
      <c r="AA87" s="353"/>
      <c r="AB87" s="353"/>
      <c r="AC87" s="353"/>
      <c r="AD87" s="353"/>
      <c r="AE87" s="353"/>
      <c r="AF87" s="353"/>
      <c r="AG87" s="353"/>
      <c r="AH87" s="353"/>
      <c r="AI87" s="353"/>
      <c r="AJ87" s="353"/>
      <c r="AK87" s="353"/>
      <c r="AL87" s="353"/>
      <c r="AM87" s="353"/>
      <c r="AN87" s="353"/>
      <c r="AO87" s="353"/>
    </row>
    <row r="88" spans="1:41" ht="14" customHeight="1" x14ac:dyDescent="0.25">
      <c r="A88" s="353"/>
      <c r="B88" s="353"/>
      <c r="C88" s="353"/>
      <c r="D88" s="353"/>
      <c r="E88" s="353"/>
      <c r="F88" s="353"/>
      <c r="G88" s="353"/>
      <c r="H88" s="708" t="str">
        <f>IF('JMF SHEET PG 2'!$A$26&gt;0,IF('JMF SHEET PG 2'!$AE$26="SD2/SD5","04SD5 or 04SD5M",IF(OR('JMF SHEET PG 2'!$AE$26="SD2",'JMF SHEET PG 2'!$AE$26="SD2M"),"02"&amp;'JMF SHEET PG 2'!$AE$26,"04"&amp;'JMF SHEET PG 2'!$AE$26)),"")</f>
        <v/>
      </c>
      <c r="I88" s="708"/>
      <c r="J88" s="708"/>
      <c r="K88" s="708"/>
      <c r="L88" s="708"/>
      <c r="M88" s="717" t="str">
        <f>IF('JMF SHEET PG 2'!$A$26&gt;0,'JMF SHEET PG 2'!$D$26,"")</f>
        <v/>
      </c>
      <c r="N88" s="718"/>
      <c r="O88" s="718"/>
      <c r="P88" s="718"/>
      <c r="Q88" s="718"/>
      <c r="R88" s="719"/>
      <c r="S88" s="708" t="str">
        <f>IF('JMF SHEET PG 2'!$A$26&gt;0,'JMF SHEET PG 2'!$H$26,"")</f>
        <v/>
      </c>
      <c r="T88" s="708"/>
      <c r="U88" s="708"/>
      <c r="V88" s="708"/>
      <c r="W88" s="708"/>
      <c r="X88" s="708"/>
      <c r="Y88" s="708"/>
      <c r="Z88" s="708"/>
      <c r="AA88" s="708"/>
      <c r="AB88" s="708"/>
      <c r="AC88" s="708"/>
      <c r="AD88" s="708"/>
      <c r="AE88" s="708"/>
      <c r="AF88" s="708"/>
      <c r="AG88" s="708"/>
      <c r="AH88" s="708"/>
      <c r="AI88" s="708"/>
      <c r="AJ88" s="708"/>
      <c r="AK88" s="353"/>
      <c r="AL88" s="353"/>
      <c r="AM88" s="353"/>
      <c r="AN88" s="353"/>
      <c r="AO88" s="353"/>
    </row>
    <row r="89" spans="1:41" ht="14" customHeight="1" x14ac:dyDescent="0.25">
      <c r="A89" s="353"/>
      <c r="B89" s="353"/>
      <c r="C89" s="353"/>
      <c r="D89" s="353"/>
      <c r="E89" s="353"/>
      <c r="F89" s="353"/>
      <c r="G89" s="353"/>
      <c r="H89" s="353" t="s">
        <v>2023</v>
      </c>
      <c r="I89" s="353"/>
      <c r="J89" s="353"/>
      <c r="K89" s="353"/>
      <c r="L89" s="353"/>
      <c r="M89" s="353" t="s">
        <v>2024</v>
      </c>
      <c r="N89" s="353"/>
      <c r="O89" s="353"/>
      <c r="P89" s="353"/>
      <c r="Q89" s="353"/>
      <c r="R89" s="353"/>
      <c r="S89" s="353" t="s">
        <v>2025</v>
      </c>
      <c r="T89" s="353"/>
      <c r="U89" s="353"/>
      <c r="V89" s="353"/>
      <c r="W89" s="353"/>
      <c r="X89" s="353"/>
      <c r="Y89" s="353"/>
      <c r="Z89" s="353" t="s">
        <v>2026</v>
      </c>
      <c r="AA89" s="353"/>
      <c r="AB89" s="353"/>
      <c r="AC89" s="353"/>
      <c r="AD89" s="353"/>
      <c r="AE89" s="353"/>
      <c r="AF89" s="353"/>
      <c r="AG89" s="353" t="s">
        <v>2027</v>
      </c>
      <c r="AH89" s="353"/>
      <c r="AI89" s="353"/>
      <c r="AJ89" s="353"/>
      <c r="AK89" s="353"/>
      <c r="AL89" s="353"/>
      <c r="AM89" s="353"/>
      <c r="AN89" s="353"/>
      <c r="AO89" s="353"/>
    </row>
    <row r="90" spans="1:41" ht="14" customHeight="1" x14ac:dyDescent="0.25">
      <c r="A90" s="353"/>
      <c r="B90" s="353"/>
      <c r="C90" s="353"/>
      <c r="D90" s="353"/>
      <c r="E90" s="353"/>
      <c r="F90" s="353"/>
      <c r="G90" s="353"/>
      <c r="H90" s="704" t="str">
        <f>IF('JMF SHEET PG 2'!$A$26&gt;0,'JMF SHEET PG 2'!$A$26,"")</f>
        <v/>
      </c>
      <c r="I90" s="704"/>
      <c r="J90" s="704"/>
      <c r="K90" s="704"/>
      <c r="L90" s="704"/>
      <c r="M90" s="714" t="str">
        <f>IF('JMF SHEET PG 2'!$A$26&gt;0,'JMF SHEET PG 2'!$AJ$26,"")</f>
        <v/>
      </c>
      <c r="N90" s="715"/>
      <c r="O90" s="715"/>
      <c r="P90" s="715"/>
      <c r="Q90" s="715"/>
      <c r="R90" s="716"/>
      <c r="S90" s="720" t="s">
        <v>335</v>
      </c>
      <c r="T90" s="720"/>
      <c r="U90" s="720"/>
      <c r="V90" s="720"/>
      <c r="W90" s="720"/>
      <c r="X90" s="720"/>
      <c r="Y90" s="720"/>
      <c r="Z90" s="720" t="s">
        <v>335</v>
      </c>
      <c r="AA90" s="720"/>
      <c r="AB90" s="720"/>
      <c r="AC90" s="720"/>
      <c r="AD90" s="720"/>
      <c r="AE90" s="720"/>
      <c r="AF90" s="720"/>
      <c r="AG90" s="720" t="s">
        <v>335</v>
      </c>
      <c r="AH90" s="720"/>
      <c r="AI90" s="720"/>
      <c r="AJ90" s="720"/>
      <c r="AK90" s="720"/>
      <c r="AL90" s="720"/>
      <c r="AM90" s="720"/>
      <c r="AN90" s="353"/>
      <c r="AO90" s="353"/>
    </row>
    <row r="91" spans="1:41" ht="14" customHeight="1" x14ac:dyDescent="0.25">
      <c r="A91" s="353"/>
      <c r="B91" s="353"/>
      <c r="C91" s="364"/>
      <c r="D91" s="364"/>
      <c r="E91" s="364"/>
      <c r="F91" s="364"/>
      <c r="G91" s="364"/>
      <c r="H91" s="364"/>
      <c r="I91" s="364"/>
      <c r="J91" s="364"/>
      <c r="K91" s="364"/>
      <c r="L91" s="364"/>
      <c r="M91" s="364"/>
      <c r="N91" s="364"/>
      <c r="O91" s="364"/>
      <c r="P91" s="364"/>
      <c r="Q91" s="364"/>
      <c r="R91" s="364"/>
      <c r="S91" s="364"/>
      <c r="T91" s="364"/>
      <c r="U91" s="364"/>
      <c r="V91" s="364"/>
      <c r="W91" s="364"/>
      <c r="X91" s="364"/>
      <c r="Y91" s="364"/>
      <c r="Z91" s="364"/>
      <c r="AA91" s="364"/>
      <c r="AB91" s="364"/>
      <c r="AC91" s="364"/>
      <c r="AD91" s="364"/>
      <c r="AE91" s="364"/>
      <c r="AF91" s="364"/>
      <c r="AG91" s="364"/>
      <c r="AH91" s="364"/>
      <c r="AI91" s="364"/>
      <c r="AJ91" s="364"/>
      <c r="AK91" s="364"/>
      <c r="AL91" s="364"/>
      <c r="AM91" s="364"/>
      <c r="AN91" s="353"/>
      <c r="AO91" s="353"/>
    </row>
    <row r="92" spans="1:41" ht="14" customHeight="1" x14ac:dyDescent="0.25">
      <c r="A92" s="353"/>
      <c r="B92" s="353"/>
      <c r="C92" s="353"/>
      <c r="D92" s="353"/>
      <c r="E92" s="353"/>
      <c r="F92" s="353"/>
      <c r="G92" s="353"/>
      <c r="H92" s="353"/>
      <c r="I92" s="353"/>
      <c r="J92" s="353"/>
      <c r="K92" s="353"/>
      <c r="L92" s="353"/>
      <c r="M92" s="353"/>
      <c r="N92" s="353"/>
      <c r="O92" s="353"/>
      <c r="P92" s="353"/>
      <c r="Q92" s="353"/>
      <c r="R92" s="353"/>
      <c r="S92" s="353"/>
      <c r="T92" s="353"/>
      <c r="U92" s="353"/>
      <c r="V92" s="353"/>
      <c r="W92" s="353"/>
      <c r="X92" s="353"/>
      <c r="Y92" s="353"/>
      <c r="Z92" s="353"/>
      <c r="AA92" s="353"/>
      <c r="AB92" s="353"/>
      <c r="AC92" s="353"/>
      <c r="AD92" s="353"/>
      <c r="AE92" s="353"/>
      <c r="AF92" s="353"/>
      <c r="AG92" s="353"/>
      <c r="AH92" s="353"/>
      <c r="AI92" s="353"/>
      <c r="AJ92" s="353"/>
      <c r="AK92" s="353"/>
      <c r="AL92" s="353"/>
      <c r="AM92" s="353"/>
      <c r="AN92" s="353"/>
      <c r="AO92" s="353"/>
    </row>
    <row r="93" spans="1:41" ht="14" customHeight="1" x14ac:dyDescent="0.25">
      <c r="A93" s="353"/>
      <c r="B93" s="353"/>
      <c r="C93" s="353" t="s">
        <v>364</v>
      </c>
      <c r="D93" s="353"/>
      <c r="E93" s="353"/>
      <c r="F93" s="353"/>
      <c r="G93" s="353"/>
      <c r="H93" s="353" t="s">
        <v>2020</v>
      </c>
      <c r="I93" s="353"/>
      <c r="J93" s="353"/>
      <c r="K93" s="353"/>
      <c r="L93" s="353"/>
      <c r="M93" s="353"/>
      <c r="N93" s="353"/>
      <c r="O93" s="353"/>
      <c r="P93" s="353"/>
      <c r="Q93" s="353"/>
      <c r="R93" s="353"/>
      <c r="S93" s="353"/>
      <c r="T93" s="353"/>
      <c r="U93" s="353"/>
      <c r="V93" s="353"/>
      <c r="W93" s="353"/>
      <c r="X93" s="353"/>
      <c r="Y93" s="353"/>
      <c r="Z93" s="353"/>
      <c r="AA93" s="353"/>
      <c r="AB93" s="353"/>
      <c r="AC93" s="353"/>
      <c r="AD93" s="353"/>
      <c r="AE93" s="353"/>
      <c r="AF93" s="353"/>
      <c r="AG93" s="353"/>
      <c r="AH93" s="353"/>
      <c r="AI93" s="353"/>
      <c r="AJ93" s="353"/>
      <c r="AK93" s="353"/>
      <c r="AL93" s="353"/>
      <c r="AM93" s="353"/>
      <c r="AN93" s="353"/>
      <c r="AO93" s="353"/>
    </row>
    <row r="94" spans="1:41" ht="14" customHeight="1" x14ac:dyDescent="0.25">
      <c r="A94" s="353"/>
      <c r="B94" s="353"/>
      <c r="C94" s="353"/>
      <c r="D94" s="353"/>
      <c r="E94" s="353"/>
      <c r="F94" s="353"/>
      <c r="G94" s="353"/>
      <c r="H94" s="708" t="str">
        <f>IF('JMF SHEET PG 2'!$A$30&gt;0,"0010BF","")</f>
        <v>0010BF</v>
      </c>
      <c r="I94" s="708"/>
      <c r="J94" s="708"/>
      <c r="K94" s="708"/>
      <c r="L94" s="708"/>
      <c r="M94" s="353"/>
      <c r="N94" s="353"/>
      <c r="O94" s="353"/>
      <c r="P94" s="353"/>
      <c r="Q94" s="353"/>
      <c r="R94" s="353"/>
      <c r="S94" s="353"/>
      <c r="T94" s="353"/>
      <c r="U94" s="353"/>
      <c r="V94" s="353"/>
      <c r="W94" s="353"/>
      <c r="X94" s="353"/>
      <c r="Y94" s="353"/>
      <c r="Z94" s="353"/>
      <c r="AA94" s="353"/>
      <c r="AB94" s="353"/>
      <c r="AC94" s="353"/>
      <c r="AD94" s="353"/>
      <c r="AE94" s="353"/>
      <c r="AF94" s="353"/>
      <c r="AG94" s="353"/>
      <c r="AH94" s="353"/>
      <c r="AI94" s="353"/>
      <c r="AJ94" s="353"/>
      <c r="AK94" s="353"/>
      <c r="AL94" s="353"/>
      <c r="AM94" s="353"/>
      <c r="AN94" s="353"/>
      <c r="AO94" s="353"/>
    </row>
    <row r="95" spans="1:41" ht="14" customHeight="1" x14ac:dyDescent="0.25">
      <c r="A95" s="353"/>
      <c r="B95" s="353"/>
      <c r="C95" s="353"/>
      <c r="D95" s="353"/>
      <c r="E95" s="353"/>
      <c r="F95" s="353"/>
      <c r="G95" s="353"/>
      <c r="H95" s="353" t="s">
        <v>2023</v>
      </c>
      <c r="I95" s="353"/>
      <c r="J95" s="353"/>
      <c r="K95" s="353"/>
      <c r="L95" s="353"/>
      <c r="M95" s="353" t="s">
        <v>2024</v>
      </c>
      <c r="N95" s="353"/>
      <c r="O95" s="353"/>
      <c r="P95" s="353"/>
      <c r="Q95" s="353"/>
      <c r="R95" s="353"/>
      <c r="S95" s="353"/>
      <c r="T95" s="353"/>
      <c r="U95" s="353"/>
      <c r="V95" s="353"/>
      <c r="W95" s="353"/>
      <c r="X95" s="353"/>
      <c r="Y95" s="353"/>
      <c r="Z95" s="353"/>
      <c r="AA95" s="353"/>
      <c r="AB95" s="353"/>
      <c r="AC95" s="353"/>
      <c r="AD95" s="353"/>
      <c r="AE95" s="353"/>
      <c r="AF95" s="353"/>
      <c r="AG95" s="353"/>
      <c r="AH95" s="353"/>
      <c r="AI95" s="353"/>
      <c r="AJ95" s="353"/>
      <c r="AK95" s="353"/>
      <c r="AL95" s="353"/>
      <c r="AM95" s="353"/>
      <c r="AN95" s="353"/>
      <c r="AO95" s="353"/>
    </row>
    <row r="96" spans="1:41" ht="14" customHeight="1" x14ac:dyDescent="0.25">
      <c r="A96" s="353"/>
      <c r="B96" s="353"/>
      <c r="C96" s="353"/>
      <c r="D96" s="353"/>
      <c r="E96" s="353"/>
      <c r="F96" s="353"/>
      <c r="G96" s="353"/>
      <c r="H96" s="704">
        <f>IF('JMF SHEET PG 2'!$A$30&gt;0,'JMF SHEET PG 2'!$A$30,"")</f>
        <v>2</v>
      </c>
      <c r="I96" s="704"/>
      <c r="J96" s="704"/>
      <c r="K96" s="704"/>
      <c r="L96" s="704"/>
      <c r="M96" s="714">
        <f>IF('JMF SHEET PG 2'!$A$30&gt;0,'JMF SHEET PG 2'!$AM$30,"")</f>
        <v>2.6480000000000001</v>
      </c>
      <c r="N96" s="715"/>
      <c r="O96" s="715"/>
      <c r="P96" s="715"/>
      <c r="Q96" s="715"/>
      <c r="R96" s="716"/>
      <c r="S96" s="353"/>
      <c r="T96" s="353"/>
      <c r="U96" s="353"/>
      <c r="V96" s="353"/>
      <c r="W96" s="353"/>
      <c r="X96" s="353"/>
      <c r="Y96" s="353"/>
      <c r="Z96" s="353"/>
      <c r="AA96" s="353"/>
      <c r="AB96" s="353"/>
      <c r="AC96" s="353"/>
      <c r="AD96" s="353"/>
      <c r="AE96" s="353"/>
      <c r="AF96" s="353"/>
      <c r="AG96" s="353"/>
      <c r="AH96" s="353"/>
      <c r="AI96" s="353"/>
      <c r="AJ96" s="353"/>
      <c r="AK96" s="353"/>
      <c r="AL96" s="353"/>
      <c r="AM96" s="353"/>
      <c r="AN96" s="353"/>
      <c r="AO96" s="353"/>
    </row>
    <row r="97" spans="1:41" ht="14" customHeight="1" x14ac:dyDescent="0.25">
      <c r="A97" s="353"/>
      <c r="B97" s="353"/>
      <c r="C97" s="364"/>
      <c r="D97" s="364"/>
      <c r="E97" s="364"/>
      <c r="F97" s="364"/>
      <c r="G97" s="364"/>
      <c r="H97" s="364"/>
      <c r="I97" s="364"/>
      <c r="J97" s="364"/>
      <c r="K97" s="364"/>
      <c r="L97" s="364"/>
      <c r="M97" s="364"/>
      <c r="N97" s="364"/>
      <c r="O97" s="364"/>
      <c r="P97" s="364"/>
      <c r="Q97" s="364"/>
      <c r="R97" s="364"/>
      <c r="S97" s="364"/>
      <c r="T97" s="364"/>
      <c r="U97" s="364"/>
      <c r="V97" s="364"/>
      <c r="W97" s="364"/>
      <c r="X97" s="364"/>
      <c r="Y97" s="364"/>
      <c r="Z97" s="364"/>
      <c r="AA97" s="364"/>
      <c r="AB97" s="364"/>
      <c r="AC97" s="364"/>
      <c r="AD97" s="364"/>
      <c r="AE97" s="364"/>
      <c r="AF97" s="364"/>
      <c r="AG97" s="364"/>
      <c r="AH97" s="364"/>
      <c r="AI97" s="364"/>
      <c r="AJ97" s="364"/>
      <c r="AK97" s="364"/>
      <c r="AL97" s="364"/>
      <c r="AM97" s="364"/>
      <c r="AN97" s="353"/>
      <c r="AO97" s="353"/>
    </row>
    <row r="98" spans="1:41" ht="14" customHeight="1" x14ac:dyDescent="0.25">
      <c r="A98" s="353"/>
      <c r="B98" s="353"/>
      <c r="C98" s="353"/>
      <c r="D98" s="353"/>
      <c r="E98" s="353"/>
      <c r="F98" s="353"/>
      <c r="G98" s="353"/>
      <c r="H98" s="353"/>
      <c r="I98" s="353"/>
      <c r="J98" s="353"/>
      <c r="K98" s="353"/>
      <c r="L98" s="353"/>
      <c r="M98" s="353"/>
      <c r="N98" s="353"/>
      <c r="O98" s="353"/>
      <c r="P98" s="353"/>
      <c r="Q98" s="353"/>
      <c r="R98" s="353"/>
      <c r="S98" s="353"/>
      <c r="T98" s="353"/>
      <c r="U98" s="353"/>
      <c r="V98" s="353"/>
      <c r="W98" s="353"/>
      <c r="X98" s="353"/>
      <c r="Y98" s="353"/>
      <c r="Z98" s="353"/>
      <c r="AA98" s="353"/>
      <c r="AB98" s="353"/>
      <c r="AC98" s="353"/>
      <c r="AD98" s="353"/>
      <c r="AE98" s="353"/>
      <c r="AF98" s="353"/>
      <c r="AG98" s="353"/>
      <c r="AH98" s="353"/>
      <c r="AI98" s="353"/>
      <c r="AJ98" s="353"/>
      <c r="AK98" s="353"/>
      <c r="AL98" s="353"/>
      <c r="AM98" s="353"/>
      <c r="AN98" s="353"/>
      <c r="AO98" s="353"/>
    </row>
    <row r="99" spans="1:41" ht="14" customHeight="1" x14ac:dyDescent="0.25">
      <c r="A99" s="353"/>
      <c r="B99" s="353"/>
      <c r="C99" s="353" t="s">
        <v>316</v>
      </c>
      <c r="D99" s="353"/>
      <c r="E99" s="353"/>
      <c r="F99" s="353"/>
      <c r="G99" s="353"/>
      <c r="H99" s="353" t="s">
        <v>2020</v>
      </c>
      <c r="I99" s="353"/>
      <c r="J99" s="353"/>
      <c r="K99" s="353"/>
      <c r="L99" s="353"/>
      <c r="M99" s="353"/>
      <c r="N99" s="353"/>
      <c r="O99" s="353"/>
      <c r="P99" s="353"/>
      <c r="Q99" s="353"/>
      <c r="R99" s="353"/>
      <c r="S99" s="353"/>
      <c r="T99" s="353"/>
      <c r="U99" s="353"/>
      <c r="V99" s="353"/>
      <c r="W99" s="353"/>
      <c r="X99" s="353"/>
      <c r="Y99" s="353"/>
      <c r="Z99" s="353"/>
      <c r="AA99" s="353"/>
      <c r="AB99" s="353"/>
      <c r="AC99" s="353"/>
      <c r="AD99" s="353"/>
      <c r="AE99" s="353"/>
      <c r="AF99" s="353"/>
      <c r="AG99" s="353"/>
      <c r="AH99" s="353"/>
      <c r="AI99" s="353"/>
      <c r="AJ99" s="353"/>
      <c r="AK99" s="353"/>
      <c r="AL99" s="353"/>
      <c r="AM99" s="353"/>
      <c r="AN99" s="353"/>
      <c r="AO99" s="353"/>
    </row>
    <row r="100" spans="1:41" ht="14" customHeight="1" x14ac:dyDescent="0.25">
      <c r="A100" s="353"/>
      <c r="B100" s="353"/>
      <c r="C100" s="353"/>
      <c r="D100" s="353"/>
      <c r="E100" s="353"/>
      <c r="F100" s="353"/>
      <c r="G100" s="353"/>
      <c r="H100" s="708" t="str">
        <f>IF('JMF SHEET PG 2'!$A$34&gt;0,"0010137","")</f>
        <v>0010137</v>
      </c>
      <c r="I100" s="708"/>
      <c r="J100" s="708"/>
      <c r="K100" s="708"/>
      <c r="L100" s="708"/>
      <c r="M100" s="353"/>
      <c r="N100" s="353"/>
      <c r="O100" s="353"/>
      <c r="P100" s="353"/>
      <c r="Q100" s="353"/>
      <c r="R100" s="353"/>
      <c r="S100" s="353"/>
      <c r="T100" s="353"/>
      <c r="U100" s="353"/>
      <c r="V100" s="353"/>
      <c r="W100" s="353"/>
      <c r="X100" s="353"/>
      <c r="Y100" s="353"/>
      <c r="Z100" s="353"/>
      <c r="AA100" s="353"/>
      <c r="AB100" s="353"/>
      <c r="AC100" s="353"/>
      <c r="AD100" s="353"/>
      <c r="AE100" s="353"/>
      <c r="AF100" s="353"/>
      <c r="AG100" s="353"/>
      <c r="AH100" s="353"/>
      <c r="AI100" s="353"/>
      <c r="AJ100" s="353"/>
      <c r="AK100" s="353"/>
      <c r="AL100" s="353"/>
      <c r="AM100" s="353"/>
      <c r="AN100" s="353"/>
      <c r="AO100" s="353"/>
    </row>
    <row r="101" spans="1:41" ht="14" customHeight="1" x14ac:dyDescent="0.25">
      <c r="A101" s="353"/>
      <c r="B101" s="353"/>
      <c r="C101" s="353"/>
      <c r="D101" s="353"/>
      <c r="E101" s="353"/>
      <c r="F101" s="353"/>
      <c r="G101" s="353"/>
      <c r="H101" s="353" t="s">
        <v>2023</v>
      </c>
      <c r="I101" s="353"/>
      <c r="J101" s="353"/>
      <c r="K101" s="353"/>
      <c r="L101" s="353"/>
      <c r="M101" s="353" t="s">
        <v>100</v>
      </c>
      <c r="N101" s="353"/>
      <c r="O101" s="353"/>
      <c r="P101" s="353"/>
      <c r="Q101" s="353"/>
      <c r="R101" s="353"/>
      <c r="S101" s="353"/>
      <c r="T101" s="353"/>
      <c r="U101" s="353"/>
      <c r="V101" s="353"/>
      <c r="W101" s="353"/>
      <c r="X101" s="353"/>
      <c r="Y101" s="353"/>
      <c r="Z101" s="353"/>
      <c r="AA101" s="353"/>
      <c r="AB101" s="353"/>
      <c r="AC101" s="353"/>
      <c r="AD101" s="353"/>
      <c r="AE101" s="353"/>
      <c r="AF101" s="353"/>
      <c r="AG101" s="353"/>
      <c r="AH101" s="353"/>
      <c r="AI101" s="353"/>
      <c r="AJ101" s="353"/>
      <c r="AK101" s="353"/>
      <c r="AL101" s="353"/>
      <c r="AM101" s="353"/>
      <c r="AN101" s="353"/>
      <c r="AO101" s="353"/>
    </row>
    <row r="102" spans="1:41" ht="14" customHeight="1" x14ac:dyDescent="0.25">
      <c r="A102" s="353"/>
      <c r="B102" s="353"/>
      <c r="C102" s="353"/>
      <c r="D102" s="353"/>
      <c r="E102" s="353"/>
      <c r="F102" s="353"/>
      <c r="G102" s="353"/>
      <c r="H102" s="704">
        <f>IF('JMF SHEET PG 2'!$A$34&gt;0,'JMF SHEET PG 2'!$A$34,"")</f>
        <v>35</v>
      </c>
      <c r="I102" s="704"/>
      <c r="J102" s="704"/>
      <c r="K102" s="704"/>
      <c r="L102" s="704"/>
      <c r="M102" s="713">
        <f>IF('JMF SHEET PG 2'!$A$34&gt;0,'JMF SHEET PG 2'!$AM$34,"")</f>
        <v>2.7097039292265053</v>
      </c>
      <c r="N102" s="713"/>
      <c r="O102" s="713"/>
      <c r="P102" s="713"/>
      <c r="Q102" s="713"/>
      <c r="R102" s="353"/>
      <c r="S102" s="353"/>
      <c r="T102" s="353"/>
      <c r="U102" s="353"/>
      <c r="V102" s="353"/>
      <c r="W102" s="353"/>
      <c r="X102" s="353"/>
      <c r="Y102" s="353"/>
      <c r="Z102" s="353"/>
      <c r="AA102" s="353"/>
      <c r="AB102" s="353"/>
      <c r="AC102" s="353"/>
      <c r="AD102" s="353"/>
      <c r="AE102" s="353"/>
      <c r="AF102" s="353"/>
      <c r="AG102" s="353"/>
      <c r="AH102" s="353"/>
      <c r="AI102" s="353"/>
      <c r="AJ102" s="353"/>
      <c r="AK102" s="353"/>
      <c r="AL102" s="353"/>
      <c r="AM102" s="353"/>
      <c r="AN102" s="353"/>
      <c r="AO102" s="353"/>
    </row>
    <row r="103" spans="1:41" ht="7" customHeight="1" x14ac:dyDescent="0.25">
      <c r="A103" s="353"/>
      <c r="B103" s="353"/>
      <c r="C103" s="353"/>
      <c r="D103" s="353"/>
      <c r="E103" s="353"/>
      <c r="F103" s="353"/>
      <c r="G103" s="353"/>
      <c r="H103" s="353"/>
      <c r="I103" s="353"/>
      <c r="J103" s="353"/>
      <c r="K103" s="353"/>
      <c r="L103" s="353"/>
      <c r="M103" s="353"/>
      <c r="N103" s="353"/>
      <c r="O103" s="353"/>
      <c r="P103" s="353"/>
      <c r="Q103" s="353"/>
      <c r="R103" s="353"/>
      <c r="S103" s="353"/>
      <c r="T103" s="353"/>
      <c r="U103" s="353"/>
      <c r="V103" s="353"/>
      <c r="W103" s="353"/>
      <c r="X103" s="353"/>
      <c r="Y103" s="353"/>
      <c r="Z103" s="353"/>
      <c r="AA103" s="353"/>
      <c r="AB103" s="353"/>
      <c r="AC103" s="353"/>
      <c r="AD103" s="353"/>
      <c r="AE103" s="353"/>
      <c r="AF103" s="353"/>
      <c r="AG103" s="353"/>
      <c r="AH103" s="353"/>
      <c r="AI103" s="353"/>
      <c r="AJ103" s="353"/>
      <c r="AK103" s="353"/>
      <c r="AL103" s="353"/>
      <c r="AM103" s="353"/>
      <c r="AN103" s="353"/>
      <c r="AO103" s="353"/>
    </row>
    <row r="104" spans="1:41" ht="14" customHeight="1" x14ac:dyDescent="0.25">
      <c r="A104" s="353"/>
      <c r="B104" s="353"/>
      <c r="C104" s="353" t="s">
        <v>317</v>
      </c>
      <c r="D104" s="353"/>
      <c r="E104" s="353"/>
      <c r="F104" s="353"/>
      <c r="G104" s="353"/>
      <c r="H104" s="353" t="s">
        <v>2020</v>
      </c>
      <c r="I104" s="353"/>
      <c r="J104" s="353"/>
      <c r="K104" s="353"/>
      <c r="L104" s="353"/>
      <c r="M104" s="353"/>
      <c r="N104" s="353"/>
      <c r="O104" s="353"/>
      <c r="P104" s="353"/>
      <c r="Q104" s="353"/>
      <c r="R104" s="353"/>
      <c r="S104" s="353"/>
      <c r="T104" s="353"/>
      <c r="U104" s="353"/>
      <c r="V104" s="353"/>
      <c r="W104" s="353"/>
      <c r="X104" s="353"/>
      <c r="Y104" s="353"/>
      <c r="Z104" s="353"/>
      <c r="AA104" s="353"/>
      <c r="AB104" s="353"/>
      <c r="AC104" s="353"/>
      <c r="AD104" s="353"/>
      <c r="AE104" s="353"/>
      <c r="AF104" s="353"/>
      <c r="AG104" s="353"/>
      <c r="AH104" s="353"/>
      <c r="AI104" s="353"/>
      <c r="AJ104" s="353"/>
      <c r="AK104" s="353"/>
      <c r="AL104" s="353"/>
      <c r="AM104" s="353"/>
      <c r="AN104" s="353"/>
      <c r="AO104" s="353"/>
    </row>
    <row r="105" spans="1:41" ht="14" customHeight="1" x14ac:dyDescent="0.25">
      <c r="A105" s="353"/>
      <c r="B105" s="353"/>
      <c r="C105" s="353"/>
      <c r="D105" s="353"/>
      <c r="E105" s="353"/>
      <c r="F105" s="353"/>
      <c r="G105" s="353"/>
      <c r="H105" s="708" t="str">
        <f>IF('JMF SHEET PG 2'!$A$35&gt;0,"0010137","")</f>
        <v/>
      </c>
      <c r="I105" s="708"/>
      <c r="J105" s="708"/>
      <c r="K105" s="708"/>
      <c r="L105" s="708"/>
      <c r="M105" s="353"/>
      <c r="N105" s="353"/>
      <c r="O105" s="353"/>
      <c r="P105" s="353"/>
      <c r="Q105" s="353"/>
      <c r="R105" s="353"/>
      <c r="S105" s="353"/>
      <c r="T105" s="353"/>
      <c r="U105" s="353"/>
      <c r="V105" s="353"/>
      <c r="W105" s="353"/>
      <c r="X105" s="353"/>
      <c r="Y105" s="353"/>
      <c r="Z105" s="353"/>
      <c r="AA105" s="353"/>
      <c r="AB105" s="353"/>
      <c r="AC105" s="353"/>
      <c r="AD105" s="353"/>
      <c r="AE105" s="353"/>
      <c r="AF105" s="353"/>
      <c r="AG105" s="353"/>
      <c r="AH105" s="353"/>
      <c r="AI105" s="353"/>
      <c r="AJ105" s="353"/>
      <c r="AK105" s="353"/>
      <c r="AL105" s="353"/>
      <c r="AM105" s="353"/>
      <c r="AN105" s="353"/>
      <c r="AO105" s="353"/>
    </row>
    <row r="106" spans="1:41" ht="14" customHeight="1" x14ac:dyDescent="0.25">
      <c r="A106" s="353"/>
      <c r="B106" s="353"/>
      <c r="C106" s="353"/>
      <c r="D106" s="353"/>
      <c r="E106" s="353"/>
      <c r="F106" s="353"/>
      <c r="G106" s="353"/>
      <c r="H106" s="353" t="s">
        <v>2023</v>
      </c>
      <c r="I106" s="353"/>
      <c r="J106" s="353"/>
      <c r="K106" s="353"/>
      <c r="L106" s="353"/>
      <c r="M106" s="353" t="s">
        <v>100</v>
      </c>
      <c r="N106" s="353"/>
      <c r="O106" s="353"/>
      <c r="P106" s="353"/>
      <c r="Q106" s="353"/>
      <c r="R106" s="353"/>
      <c r="S106" s="353"/>
      <c r="T106" s="353"/>
      <c r="U106" s="353"/>
      <c r="V106" s="353"/>
      <c r="W106" s="353"/>
      <c r="X106" s="353"/>
      <c r="Y106" s="353"/>
      <c r="Z106" s="353"/>
      <c r="AA106" s="353"/>
      <c r="AB106" s="353"/>
      <c r="AC106" s="353"/>
      <c r="AD106" s="353"/>
      <c r="AE106" s="353"/>
      <c r="AF106" s="353"/>
      <c r="AG106" s="353"/>
      <c r="AH106" s="353"/>
      <c r="AI106" s="353"/>
      <c r="AJ106" s="353"/>
      <c r="AK106" s="353"/>
      <c r="AL106" s="353"/>
      <c r="AM106" s="353"/>
      <c r="AN106" s="353"/>
      <c r="AO106" s="353"/>
    </row>
    <row r="107" spans="1:41" ht="14" customHeight="1" x14ac:dyDescent="0.25">
      <c r="A107" s="353"/>
      <c r="B107" s="353"/>
      <c r="C107" s="353"/>
      <c r="D107" s="353"/>
      <c r="E107" s="353"/>
      <c r="F107" s="353"/>
      <c r="G107" s="353"/>
      <c r="H107" s="704" t="str">
        <f>IF('JMF SHEET PG 2'!$A$35&gt;0,'JMF SHEET PG 2'!$A$35,"")</f>
        <v/>
      </c>
      <c r="I107" s="704"/>
      <c r="J107" s="704"/>
      <c r="K107" s="704"/>
      <c r="L107" s="704"/>
      <c r="M107" s="713" t="str">
        <f>IF('JMF SHEET PG 2'!$A$35&gt;0,'JMF SHEET PG 2'!$AM$35,"")</f>
        <v/>
      </c>
      <c r="N107" s="713"/>
      <c r="O107" s="713"/>
      <c r="P107" s="713"/>
      <c r="Q107" s="713"/>
      <c r="R107" s="353"/>
      <c r="S107" s="353"/>
      <c r="T107" s="353"/>
      <c r="U107" s="353"/>
      <c r="V107" s="353"/>
      <c r="W107" s="353"/>
      <c r="X107" s="353"/>
      <c r="Y107" s="353"/>
      <c r="Z107" s="353"/>
      <c r="AA107" s="353"/>
      <c r="AB107" s="353"/>
      <c r="AC107" s="353"/>
      <c r="AD107" s="353"/>
      <c r="AE107" s="353"/>
      <c r="AF107" s="353"/>
      <c r="AG107" s="353"/>
      <c r="AH107" s="353"/>
      <c r="AI107" s="353"/>
      <c r="AJ107" s="353"/>
      <c r="AK107" s="353"/>
      <c r="AL107" s="353"/>
      <c r="AM107" s="353"/>
      <c r="AN107" s="353"/>
      <c r="AO107" s="353"/>
    </row>
    <row r="108" spans="1:41" ht="7" customHeight="1" x14ac:dyDescent="0.25">
      <c r="A108" s="353"/>
      <c r="B108" s="353"/>
      <c r="C108" s="353"/>
      <c r="D108" s="353"/>
      <c r="E108" s="353"/>
      <c r="F108" s="353"/>
      <c r="G108" s="353"/>
      <c r="H108" s="353"/>
      <c r="I108" s="353"/>
      <c r="J108" s="353"/>
      <c r="K108" s="353"/>
      <c r="L108" s="353"/>
      <c r="M108" s="353"/>
      <c r="N108" s="353"/>
      <c r="O108" s="353"/>
      <c r="P108" s="353"/>
      <c r="Q108" s="353"/>
      <c r="R108" s="353"/>
      <c r="S108" s="353"/>
      <c r="T108" s="353"/>
      <c r="U108" s="353"/>
      <c r="V108" s="353"/>
      <c r="W108" s="353"/>
      <c r="X108" s="353"/>
      <c r="Y108" s="353"/>
      <c r="Z108" s="353"/>
      <c r="AA108" s="353"/>
      <c r="AB108" s="353"/>
      <c r="AC108" s="353"/>
      <c r="AD108" s="353"/>
      <c r="AE108" s="353"/>
      <c r="AF108" s="353"/>
      <c r="AG108" s="353"/>
      <c r="AH108" s="353"/>
      <c r="AI108" s="353"/>
      <c r="AJ108" s="353"/>
      <c r="AK108" s="353"/>
      <c r="AL108" s="353"/>
      <c r="AM108" s="353"/>
      <c r="AN108" s="353"/>
      <c r="AO108" s="353"/>
    </row>
    <row r="109" spans="1:41" ht="14" customHeight="1" x14ac:dyDescent="0.25">
      <c r="A109" s="353"/>
      <c r="B109" s="353"/>
      <c r="C109" s="353" t="s">
        <v>318</v>
      </c>
      <c r="D109" s="353"/>
      <c r="E109" s="353"/>
      <c r="F109" s="353"/>
      <c r="G109" s="353"/>
      <c r="H109" s="353" t="s">
        <v>2020</v>
      </c>
      <c r="I109" s="353"/>
      <c r="J109" s="353"/>
      <c r="K109" s="353"/>
      <c r="L109" s="353"/>
      <c r="M109" s="353"/>
      <c r="N109" s="353"/>
      <c r="O109" s="353"/>
      <c r="P109" s="353"/>
      <c r="Q109" s="353"/>
      <c r="R109" s="353"/>
      <c r="S109" s="353"/>
      <c r="T109" s="353"/>
      <c r="U109" s="353"/>
      <c r="V109" s="353"/>
      <c r="W109" s="353"/>
      <c r="X109" s="353"/>
      <c r="Y109" s="353"/>
      <c r="Z109" s="353"/>
      <c r="AA109" s="353"/>
      <c r="AB109" s="353"/>
      <c r="AC109" s="353"/>
      <c r="AD109" s="353"/>
      <c r="AE109" s="353"/>
      <c r="AF109" s="353"/>
      <c r="AG109" s="353"/>
      <c r="AH109" s="353"/>
      <c r="AI109" s="353"/>
      <c r="AJ109" s="353"/>
      <c r="AK109" s="353"/>
      <c r="AL109" s="353"/>
      <c r="AM109" s="353"/>
      <c r="AN109" s="353"/>
      <c r="AO109" s="353"/>
    </row>
    <row r="110" spans="1:41" ht="14" customHeight="1" x14ac:dyDescent="0.25">
      <c r="A110" s="353"/>
      <c r="B110" s="353"/>
      <c r="C110" s="353"/>
      <c r="D110" s="353"/>
      <c r="E110" s="353"/>
      <c r="F110" s="353"/>
      <c r="G110" s="353"/>
      <c r="H110" s="708" t="str">
        <f>IF('JMF SHEET PG 2'!$A$36&gt;0,"0010137","")</f>
        <v/>
      </c>
      <c r="I110" s="708"/>
      <c r="J110" s="708"/>
      <c r="K110" s="708"/>
      <c r="L110" s="708"/>
      <c r="M110" s="353"/>
      <c r="N110" s="353"/>
      <c r="O110" s="353"/>
      <c r="P110" s="353"/>
      <c r="Q110" s="353"/>
      <c r="R110" s="353"/>
      <c r="S110" s="353"/>
      <c r="T110" s="353"/>
      <c r="U110" s="353"/>
      <c r="V110" s="353"/>
      <c r="W110" s="353"/>
      <c r="X110" s="353"/>
      <c r="Y110" s="353"/>
      <c r="Z110" s="353"/>
      <c r="AA110" s="353"/>
      <c r="AB110" s="353"/>
      <c r="AC110" s="353"/>
      <c r="AD110" s="353"/>
      <c r="AE110" s="353"/>
      <c r="AF110" s="353"/>
      <c r="AG110" s="353"/>
      <c r="AH110" s="353"/>
      <c r="AI110" s="353"/>
      <c r="AJ110" s="353"/>
      <c r="AK110" s="353"/>
      <c r="AL110" s="353"/>
      <c r="AM110" s="353"/>
      <c r="AN110" s="353"/>
      <c r="AO110" s="353"/>
    </row>
    <row r="111" spans="1:41" ht="14" customHeight="1" x14ac:dyDescent="0.25">
      <c r="A111" s="353"/>
      <c r="B111" s="353"/>
      <c r="C111" s="353"/>
      <c r="D111" s="353"/>
      <c r="E111" s="353"/>
      <c r="F111" s="353"/>
      <c r="G111" s="353"/>
      <c r="H111" s="353" t="s">
        <v>2023</v>
      </c>
      <c r="I111" s="353"/>
      <c r="J111" s="353"/>
      <c r="K111" s="353"/>
      <c r="L111" s="353"/>
      <c r="M111" s="353" t="s">
        <v>100</v>
      </c>
      <c r="N111" s="353"/>
      <c r="O111" s="353"/>
      <c r="P111" s="353"/>
      <c r="Q111" s="353"/>
      <c r="R111" s="353"/>
      <c r="S111" s="353"/>
      <c r="T111" s="353"/>
      <c r="U111" s="353"/>
      <c r="V111" s="353"/>
      <c r="W111" s="353"/>
      <c r="X111" s="353"/>
      <c r="Y111" s="353"/>
      <c r="Z111" s="353"/>
      <c r="AA111" s="353"/>
      <c r="AB111" s="353"/>
      <c r="AC111" s="353"/>
      <c r="AD111" s="353"/>
      <c r="AE111" s="353"/>
      <c r="AF111" s="353"/>
      <c r="AG111" s="353"/>
      <c r="AH111" s="353"/>
      <c r="AI111" s="353"/>
      <c r="AJ111" s="353"/>
      <c r="AK111" s="353"/>
      <c r="AL111" s="353"/>
      <c r="AM111" s="353"/>
      <c r="AN111" s="353"/>
      <c r="AO111" s="353"/>
    </row>
    <row r="112" spans="1:41" ht="14" customHeight="1" x14ac:dyDescent="0.25">
      <c r="A112" s="353"/>
      <c r="B112" s="353"/>
      <c r="C112" s="353"/>
      <c r="D112" s="353"/>
      <c r="E112" s="353"/>
      <c r="F112" s="353"/>
      <c r="G112" s="353"/>
      <c r="H112" s="704" t="str">
        <f>IF('JMF SHEET PG 2'!$A$36&gt;0,'JMF SHEET PG 2'!$A$36,"")</f>
        <v/>
      </c>
      <c r="I112" s="704"/>
      <c r="J112" s="704"/>
      <c r="K112" s="704"/>
      <c r="L112" s="704"/>
      <c r="M112" s="713" t="str">
        <f>IF('JMF SHEET PG 2'!$A$36&gt;0,'JMF SHEET PG 2'!$AM$36,"")</f>
        <v/>
      </c>
      <c r="N112" s="713"/>
      <c r="O112" s="713"/>
      <c r="P112" s="713"/>
      <c r="Q112" s="713"/>
      <c r="R112" s="353"/>
      <c r="S112" s="353"/>
      <c r="T112" s="353"/>
      <c r="U112" s="353"/>
      <c r="V112" s="353"/>
      <c r="W112" s="353"/>
      <c r="X112" s="353"/>
      <c r="Y112" s="353"/>
      <c r="Z112" s="353"/>
      <c r="AA112" s="353"/>
      <c r="AB112" s="353"/>
      <c r="AC112" s="353"/>
      <c r="AD112" s="353"/>
      <c r="AE112" s="353"/>
      <c r="AF112" s="353"/>
      <c r="AG112" s="353"/>
      <c r="AH112" s="353"/>
      <c r="AI112" s="353"/>
      <c r="AJ112" s="353"/>
      <c r="AK112" s="353"/>
      <c r="AL112" s="353"/>
      <c r="AM112" s="353"/>
      <c r="AN112" s="353"/>
      <c r="AO112" s="353"/>
    </row>
    <row r="113" spans="1:41" ht="14" customHeight="1" x14ac:dyDescent="0.25">
      <c r="A113" s="353"/>
      <c r="B113" s="353"/>
      <c r="C113" s="364"/>
      <c r="D113" s="364"/>
      <c r="E113" s="364"/>
      <c r="F113" s="364"/>
      <c r="G113" s="364"/>
      <c r="H113" s="364"/>
      <c r="I113" s="364"/>
      <c r="J113" s="364"/>
      <c r="K113" s="364"/>
      <c r="L113" s="364"/>
      <c r="M113" s="364"/>
      <c r="N113" s="364"/>
      <c r="O113" s="364"/>
      <c r="P113" s="364"/>
      <c r="Q113" s="364"/>
      <c r="R113" s="364"/>
      <c r="S113" s="364"/>
      <c r="T113" s="364"/>
      <c r="U113" s="364"/>
      <c r="V113" s="364"/>
      <c r="W113" s="364"/>
      <c r="X113" s="364"/>
      <c r="Y113" s="364"/>
      <c r="Z113" s="364"/>
      <c r="AA113" s="364"/>
      <c r="AB113" s="364"/>
      <c r="AC113" s="364"/>
      <c r="AD113" s="364"/>
      <c r="AE113" s="364"/>
      <c r="AF113" s="364"/>
      <c r="AG113" s="364"/>
      <c r="AH113" s="364"/>
      <c r="AI113" s="364"/>
      <c r="AJ113" s="364"/>
      <c r="AK113" s="364"/>
      <c r="AL113" s="364"/>
      <c r="AM113" s="364"/>
      <c r="AN113" s="353"/>
      <c r="AO113" s="353"/>
    </row>
    <row r="114" spans="1:41" ht="14" customHeight="1" x14ac:dyDescent="0.25">
      <c r="A114" s="353"/>
      <c r="B114" s="353"/>
      <c r="C114" s="353"/>
      <c r="D114" s="353"/>
      <c r="E114" s="353"/>
      <c r="F114" s="353"/>
      <c r="G114" s="353"/>
      <c r="H114" s="353"/>
      <c r="I114" s="353"/>
      <c r="J114" s="353"/>
      <c r="K114" s="353"/>
      <c r="L114" s="353"/>
      <c r="M114" s="353"/>
      <c r="N114" s="353"/>
      <c r="O114" s="353"/>
      <c r="P114" s="353"/>
      <c r="Q114" s="353"/>
      <c r="R114" s="353"/>
      <c r="S114" s="353"/>
      <c r="T114" s="353"/>
      <c r="U114" s="353"/>
      <c r="V114" s="353"/>
      <c r="W114" s="353"/>
      <c r="X114" s="353"/>
      <c r="Y114" s="353"/>
      <c r="Z114" s="353"/>
      <c r="AA114" s="353"/>
      <c r="AB114" s="353"/>
      <c r="AC114" s="353"/>
      <c r="AD114" s="353"/>
      <c r="AE114" s="353"/>
      <c r="AF114" s="353"/>
      <c r="AG114" s="353"/>
      <c r="AH114" s="353"/>
      <c r="AI114" s="353"/>
      <c r="AJ114" s="353"/>
      <c r="AK114" s="353"/>
      <c r="AL114" s="353"/>
      <c r="AM114" s="353"/>
      <c r="AN114" s="353"/>
      <c r="AO114" s="353"/>
    </row>
    <row r="115" spans="1:41" ht="14" customHeight="1" x14ac:dyDescent="0.25">
      <c r="A115" s="353"/>
      <c r="B115" s="353"/>
      <c r="C115" s="353" t="s">
        <v>2036</v>
      </c>
      <c r="D115" s="353"/>
      <c r="E115" s="353"/>
      <c r="F115" s="353"/>
      <c r="G115" s="353"/>
      <c r="H115" s="353" t="s">
        <v>2020</v>
      </c>
      <c r="I115" s="353"/>
      <c r="J115" s="353"/>
      <c r="K115" s="353"/>
      <c r="L115" s="353"/>
      <c r="M115" s="353" t="s">
        <v>1256</v>
      </c>
      <c r="N115" s="353"/>
      <c r="O115" s="353"/>
      <c r="P115" s="353"/>
      <c r="Q115" s="353"/>
      <c r="R115" s="353"/>
      <c r="S115" s="353"/>
      <c r="T115" s="353"/>
      <c r="U115" s="353"/>
      <c r="V115" s="353"/>
      <c r="W115" s="353"/>
      <c r="X115" s="353"/>
      <c r="Y115" s="353"/>
      <c r="Z115" s="353"/>
      <c r="AA115" s="353"/>
      <c r="AB115" s="353"/>
      <c r="AC115" s="353"/>
      <c r="AD115" s="353"/>
      <c r="AE115" s="353"/>
      <c r="AF115" s="353"/>
      <c r="AG115" s="353"/>
      <c r="AH115" s="353"/>
      <c r="AI115" s="353"/>
      <c r="AJ115" s="353"/>
      <c r="AK115" s="353"/>
      <c r="AL115" s="353"/>
      <c r="AM115" s="353"/>
      <c r="AN115" s="353"/>
      <c r="AO115" s="353"/>
    </row>
    <row r="116" spans="1:41" ht="14" customHeight="1" x14ac:dyDescent="0.25">
      <c r="A116" s="353"/>
      <c r="B116" s="353"/>
      <c r="C116" s="353"/>
      <c r="D116" s="353"/>
      <c r="E116" s="353"/>
      <c r="F116" s="353"/>
      <c r="G116" s="353"/>
      <c r="H116" s="708">
        <f>IF('JMF SHEET PG 1'!$K$34&lt;&gt;"",VLOOKUP('JMF SHEET PG 1'!$K$34,'Binder PG Grades'!$A$2:$B$30,2,FALSE),"")</f>
        <v>1015828</v>
      </c>
      <c r="I116" s="708"/>
      <c r="J116" s="708"/>
      <c r="K116" s="708"/>
      <c r="L116" s="708"/>
      <c r="M116" s="709" t="str">
        <f>IF('JMF SHEET PG 1'!$K$34&lt;&gt;"",'JMF SHEET PG 1'!$K$34,"")</f>
        <v>PG 58-28 Neat</v>
      </c>
      <c r="N116" s="709"/>
      <c r="O116" s="709"/>
      <c r="P116" s="709"/>
      <c r="Q116" s="709"/>
      <c r="R116" s="709"/>
      <c r="S116" s="709"/>
      <c r="T116" s="709"/>
      <c r="U116" s="353"/>
      <c r="V116" s="353"/>
      <c r="W116" s="353"/>
      <c r="X116" s="353"/>
      <c r="Y116" s="353"/>
      <c r="Z116" s="353"/>
      <c r="AA116" s="353"/>
      <c r="AB116" s="353"/>
      <c r="AC116" s="353"/>
      <c r="AD116" s="353"/>
      <c r="AE116" s="353"/>
      <c r="AF116" s="353"/>
      <c r="AG116" s="353"/>
      <c r="AH116" s="353"/>
      <c r="AI116" s="353"/>
      <c r="AJ116" s="353"/>
      <c r="AK116" s="353"/>
      <c r="AL116" s="353"/>
      <c r="AM116" s="353"/>
      <c r="AN116" s="353"/>
      <c r="AO116" s="353"/>
    </row>
    <row r="117" spans="1:41" ht="14" customHeight="1" x14ac:dyDescent="0.25">
      <c r="A117" s="353"/>
      <c r="B117" s="353"/>
      <c r="C117" s="353"/>
      <c r="D117" s="353"/>
      <c r="E117" s="353"/>
      <c r="F117" s="353"/>
      <c r="G117" s="353"/>
      <c r="H117" s="300" t="s">
        <v>2037</v>
      </c>
      <c r="I117" s="300"/>
      <c r="J117" s="300"/>
      <c r="K117" s="300"/>
      <c r="L117" s="300"/>
      <c r="M117" s="353" t="s">
        <v>2038</v>
      </c>
      <c r="N117" s="353"/>
      <c r="O117" s="353"/>
      <c r="P117" s="353"/>
      <c r="Q117" s="353"/>
      <c r="R117" s="353"/>
      <c r="S117" s="353"/>
      <c r="T117" s="353"/>
      <c r="U117" s="353"/>
      <c r="V117" s="353"/>
      <c r="W117" s="353"/>
      <c r="X117" s="353"/>
      <c r="Y117" s="353"/>
      <c r="Z117" s="353"/>
      <c r="AA117" s="353"/>
      <c r="AB117" s="353"/>
      <c r="AC117" s="353"/>
      <c r="AD117" s="353"/>
      <c r="AE117" s="353"/>
      <c r="AF117" s="353"/>
      <c r="AG117" s="353"/>
      <c r="AH117" s="353"/>
      <c r="AI117" s="353"/>
      <c r="AJ117" s="353"/>
      <c r="AK117" s="353"/>
      <c r="AL117" s="353"/>
      <c r="AM117" s="353"/>
      <c r="AN117" s="353"/>
      <c r="AO117" s="353"/>
    </row>
    <row r="118" spans="1:41" ht="14" customHeight="1" x14ac:dyDescent="0.25">
      <c r="A118" s="353"/>
      <c r="B118" s="353"/>
      <c r="C118" s="353"/>
      <c r="D118" s="353"/>
      <c r="E118" s="353"/>
      <c r="F118" s="353"/>
      <c r="G118" s="353"/>
      <c r="H118" s="710">
        <f>IF('JMF SHEET PG 1'!$K$34&lt;&gt;"",'JMF SHEET PG 1'!$J$30,"")</f>
        <v>3.1</v>
      </c>
      <c r="I118" s="711"/>
      <c r="J118" s="711"/>
      <c r="K118" s="711"/>
      <c r="L118" s="712"/>
      <c r="M118" s="713">
        <f>IF('JMF SHEET PG 1'!$K$34&lt;&gt;"",'JMF SHEET PG 1'!$I$37,"")</f>
        <v>1.026</v>
      </c>
      <c r="N118" s="713"/>
      <c r="O118" s="713"/>
      <c r="P118" s="713"/>
      <c r="Q118" s="713"/>
      <c r="R118" s="353"/>
      <c r="S118" s="353"/>
      <c r="T118" s="353"/>
      <c r="U118" s="353"/>
      <c r="V118" s="353"/>
      <c r="W118" s="353"/>
      <c r="X118" s="353"/>
      <c r="Y118" s="353"/>
      <c r="Z118" s="353"/>
      <c r="AA118" s="353"/>
      <c r="AB118" s="353"/>
      <c r="AC118" s="353"/>
      <c r="AD118" s="353"/>
      <c r="AE118" s="353"/>
      <c r="AF118" s="353"/>
      <c r="AG118" s="353"/>
      <c r="AH118" s="353"/>
      <c r="AI118" s="353"/>
      <c r="AJ118" s="353"/>
      <c r="AK118" s="353"/>
      <c r="AL118" s="353"/>
      <c r="AM118" s="353"/>
      <c r="AN118" s="353"/>
      <c r="AO118" s="353"/>
    </row>
    <row r="119" spans="1:41" ht="14" customHeight="1" x14ac:dyDescent="0.25">
      <c r="A119" s="353"/>
      <c r="B119" s="353"/>
      <c r="C119" s="364"/>
      <c r="D119" s="364"/>
      <c r="E119" s="364"/>
      <c r="F119" s="364"/>
      <c r="G119" s="364"/>
      <c r="H119" s="364"/>
      <c r="I119" s="364"/>
      <c r="J119" s="364"/>
      <c r="K119" s="364"/>
      <c r="L119" s="364"/>
      <c r="M119" s="364"/>
      <c r="N119" s="364"/>
      <c r="O119" s="364"/>
      <c r="P119" s="364"/>
      <c r="Q119" s="364"/>
      <c r="R119" s="364"/>
      <c r="S119" s="364"/>
      <c r="T119" s="364"/>
      <c r="U119" s="364"/>
      <c r="V119" s="364"/>
      <c r="W119" s="364"/>
      <c r="X119" s="364"/>
      <c r="Y119" s="364"/>
      <c r="Z119" s="364"/>
      <c r="AA119" s="364"/>
      <c r="AB119" s="364"/>
      <c r="AC119" s="364"/>
      <c r="AD119" s="364"/>
      <c r="AE119" s="364"/>
      <c r="AF119" s="364"/>
      <c r="AG119" s="364"/>
      <c r="AH119" s="364"/>
      <c r="AI119" s="364"/>
      <c r="AJ119" s="364"/>
      <c r="AK119" s="364"/>
      <c r="AL119" s="364"/>
      <c r="AM119" s="364"/>
      <c r="AN119" s="353"/>
      <c r="AO119" s="353"/>
    </row>
    <row r="120" spans="1:41" ht="14" customHeight="1" x14ac:dyDescent="0.25">
      <c r="A120" s="353"/>
      <c r="B120" s="353"/>
      <c r="C120" s="353"/>
      <c r="D120" s="353"/>
      <c r="E120" s="353"/>
      <c r="F120" s="353"/>
      <c r="G120" s="353"/>
      <c r="H120" s="353"/>
      <c r="I120" s="353"/>
      <c r="J120" s="353"/>
      <c r="K120" s="353"/>
      <c r="L120" s="353"/>
      <c r="M120" s="353"/>
      <c r="N120" s="353"/>
      <c r="O120" s="353"/>
      <c r="P120" s="353"/>
      <c r="Q120" s="353"/>
      <c r="R120" s="353"/>
      <c r="S120" s="353"/>
      <c r="T120" s="353"/>
      <c r="U120" s="353"/>
      <c r="V120" s="353"/>
      <c r="W120" s="353"/>
      <c r="X120" s="353"/>
      <c r="Y120" s="353"/>
      <c r="Z120" s="353"/>
      <c r="AA120" s="353"/>
      <c r="AB120" s="353"/>
      <c r="AC120" s="353"/>
      <c r="AD120" s="353"/>
      <c r="AE120" s="353"/>
      <c r="AF120" s="353"/>
      <c r="AG120" s="353"/>
      <c r="AH120" s="353"/>
      <c r="AI120" s="353"/>
      <c r="AJ120" s="353"/>
      <c r="AK120" s="353"/>
      <c r="AL120" s="353"/>
      <c r="AM120" s="353"/>
      <c r="AN120" s="353"/>
      <c r="AO120" s="353"/>
    </row>
    <row r="121" spans="1:41" ht="14" customHeight="1" x14ac:dyDescent="0.25">
      <c r="A121" s="353"/>
      <c r="B121" s="353"/>
      <c r="C121" s="353" t="s">
        <v>2039</v>
      </c>
      <c r="D121" s="353"/>
      <c r="E121" s="353"/>
      <c r="F121" s="353"/>
      <c r="G121" s="353"/>
      <c r="H121" s="353" t="s">
        <v>2020</v>
      </c>
      <c r="I121" s="353"/>
      <c r="J121" s="353"/>
      <c r="K121" s="353"/>
      <c r="L121" s="353"/>
      <c r="M121" s="353" t="s">
        <v>2040</v>
      </c>
      <c r="N121" s="353"/>
      <c r="O121" s="353"/>
      <c r="P121" s="353"/>
      <c r="Q121" s="353"/>
      <c r="R121" s="353"/>
      <c r="S121" s="353"/>
      <c r="T121" s="353"/>
      <c r="U121" s="353"/>
      <c r="V121" s="353"/>
      <c r="W121" s="353" t="s">
        <v>2041</v>
      </c>
      <c r="X121" s="353"/>
      <c r="Y121" s="353"/>
      <c r="Z121" s="353"/>
      <c r="AA121" s="353"/>
      <c r="AB121" s="353"/>
      <c r="AC121" s="353"/>
      <c r="AD121" s="353"/>
      <c r="AE121" s="353"/>
      <c r="AF121" s="353"/>
      <c r="AG121" s="353"/>
      <c r="AH121" s="353"/>
      <c r="AI121" s="353"/>
      <c r="AJ121" s="353"/>
      <c r="AK121" s="353"/>
      <c r="AL121" s="353"/>
      <c r="AM121" s="353"/>
      <c r="AN121" s="353"/>
      <c r="AO121" s="353"/>
    </row>
    <row r="122" spans="1:41" ht="14" customHeight="1" x14ac:dyDescent="0.25">
      <c r="A122" s="353"/>
      <c r="B122" s="353"/>
      <c r="C122" s="353"/>
      <c r="D122" s="353"/>
      <c r="E122" s="353"/>
      <c r="F122" s="353"/>
      <c r="G122" s="353"/>
      <c r="H122" s="708" t="str">
        <f>IF(AND('JMF SHEET PG 1'!$AG$31="Yes",'JMF SHEET PG 1'!$AE$33="Liquid anti-strip additive (LAS)"),"100LAS","")</f>
        <v/>
      </c>
      <c r="I122" s="708"/>
      <c r="J122" s="708"/>
      <c r="K122" s="708"/>
      <c r="L122" s="708"/>
      <c r="M122" s="706" t="str">
        <f>IF(AND('JMF SHEET PG 1'!$AG$31="Yes",'JMF SHEET PG 1'!$AE$33="Liquid anti-strip additive (LAS)"),'JMF SHEET PG 1'!$AB$35,"")</f>
        <v/>
      </c>
      <c r="N122" s="706"/>
      <c r="O122" s="706"/>
      <c r="P122" s="706"/>
      <c r="Q122" s="706"/>
      <c r="R122" s="706"/>
      <c r="S122" s="706"/>
      <c r="T122" s="706"/>
      <c r="U122" s="706"/>
      <c r="V122" s="706"/>
      <c r="W122" s="706" t="str">
        <f>IF(AND('JMF SHEET PG 1'!$AG$31="Yes",'JMF SHEET PG 1'!$AE$33="Liquid anti-strip additive (LAS)"),'JMF SHEET PG 1'!$AB$34,"")</f>
        <v/>
      </c>
      <c r="X122" s="706"/>
      <c r="Y122" s="706"/>
      <c r="Z122" s="706"/>
      <c r="AA122" s="706"/>
      <c r="AB122" s="706"/>
      <c r="AC122" s="706"/>
      <c r="AD122" s="706"/>
      <c r="AE122" s="706"/>
      <c r="AF122" s="706"/>
      <c r="AG122" s="353"/>
      <c r="AH122" s="353"/>
      <c r="AI122" s="353"/>
      <c r="AJ122" s="353"/>
      <c r="AK122" s="353"/>
      <c r="AL122" s="353"/>
      <c r="AM122" s="353"/>
      <c r="AN122" s="353"/>
      <c r="AO122" s="353"/>
    </row>
    <row r="123" spans="1:41" ht="14" customHeight="1" x14ac:dyDescent="0.25">
      <c r="A123" s="353"/>
      <c r="B123" s="353"/>
      <c r="C123" s="353"/>
      <c r="D123" s="353"/>
      <c r="E123" s="353"/>
      <c r="F123" s="353"/>
      <c r="G123" s="353"/>
      <c r="H123" s="353" t="s">
        <v>2042</v>
      </c>
      <c r="I123" s="353"/>
      <c r="J123" s="353"/>
      <c r="K123" s="353"/>
      <c r="L123" s="353"/>
      <c r="M123" s="353"/>
      <c r="N123" s="353"/>
      <c r="O123" s="353"/>
      <c r="P123" s="353"/>
      <c r="Q123" s="353"/>
      <c r="R123" s="353"/>
      <c r="S123" s="353"/>
      <c r="T123" s="353"/>
      <c r="U123" s="353"/>
      <c r="V123" s="353"/>
      <c r="W123" s="353"/>
      <c r="X123" s="353"/>
      <c r="Y123" s="353"/>
      <c r="Z123" s="353"/>
      <c r="AA123" s="353"/>
      <c r="AB123" s="353"/>
      <c r="AC123" s="353"/>
      <c r="AD123" s="353"/>
      <c r="AE123" s="353"/>
      <c r="AF123" s="353"/>
      <c r="AG123" s="353"/>
      <c r="AH123" s="353"/>
      <c r="AI123" s="353"/>
      <c r="AJ123" s="353"/>
      <c r="AK123" s="353"/>
      <c r="AL123" s="353"/>
      <c r="AM123" s="353"/>
      <c r="AN123" s="353"/>
      <c r="AO123" s="353"/>
    </row>
    <row r="124" spans="1:41" ht="14" customHeight="1" x14ac:dyDescent="0.25">
      <c r="A124" s="353"/>
      <c r="B124" s="353"/>
      <c r="C124" s="353"/>
      <c r="D124" s="353"/>
      <c r="E124" s="353"/>
      <c r="F124" s="353"/>
      <c r="G124" s="353"/>
      <c r="H124" s="707" t="str">
        <f>IF(AND('JMF SHEET PG 1'!$AG$31="Yes",'JMF SHEET PG 1'!$AE$33="Liquid anti-strip additive (LAS)"),'JMF SHEET PG 1'!$AB$36,"")</f>
        <v/>
      </c>
      <c r="I124" s="707"/>
      <c r="J124" s="707"/>
      <c r="K124" s="707"/>
      <c r="L124" s="707"/>
      <c r="M124" s="353"/>
      <c r="N124" s="353"/>
      <c r="O124" s="353"/>
      <c r="P124" s="353"/>
      <c r="Q124" s="353"/>
      <c r="R124" s="353"/>
      <c r="S124" s="353"/>
      <c r="T124" s="353"/>
      <c r="U124" s="353"/>
      <c r="V124" s="353"/>
      <c r="W124" s="353"/>
      <c r="X124" s="353"/>
      <c r="Y124" s="353"/>
      <c r="Z124" s="353"/>
      <c r="AA124" s="353"/>
      <c r="AB124" s="353"/>
      <c r="AC124" s="353"/>
      <c r="AD124" s="353"/>
      <c r="AE124" s="353"/>
      <c r="AF124" s="353"/>
      <c r="AG124" s="353"/>
      <c r="AH124" s="353"/>
      <c r="AI124" s="353"/>
      <c r="AJ124" s="353"/>
      <c r="AK124" s="353"/>
      <c r="AL124" s="353"/>
      <c r="AM124" s="353"/>
      <c r="AN124" s="353"/>
      <c r="AO124" s="353"/>
    </row>
    <row r="125" spans="1:41" ht="14" customHeight="1" x14ac:dyDescent="0.25">
      <c r="A125" s="353"/>
      <c r="B125" s="353"/>
      <c r="C125" s="353"/>
      <c r="D125" s="353"/>
      <c r="E125" s="353"/>
      <c r="F125" s="353"/>
      <c r="G125" s="353"/>
      <c r="H125" s="353"/>
      <c r="I125" s="353"/>
      <c r="J125" s="353"/>
      <c r="K125" s="353"/>
      <c r="L125" s="353"/>
      <c r="M125" s="353"/>
      <c r="N125" s="353"/>
      <c r="O125" s="353"/>
      <c r="P125" s="353"/>
      <c r="Q125" s="353"/>
      <c r="R125" s="353"/>
      <c r="S125" s="353"/>
      <c r="T125" s="353"/>
      <c r="U125" s="353"/>
      <c r="V125" s="353"/>
      <c r="W125" s="353"/>
      <c r="X125" s="353"/>
      <c r="Y125" s="353"/>
      <c r="Z125" s="353"/>
      <c r="AA125" s="353"/>
      <c r="AB125" s="353"/>
      <c r="AC125" s="353"/>
      <c r="AD125" s="353"/>
      <c r="AE125" s="353"/>
      <c r="AF125" s="353"/>
      <c r="AG125" s="353"/>
      <c r="AH125" s="353"/>
      <c r="AI125" s="353"/>
      <c r="AJ125" s="353"/>
      <c r="AK125" s="353"/>
      <c r="AL125" s="353"/>
      <c r="AM125" s="353"/>
      <c r="AN125" s="353"/>
      <c r="AO125" s="353"/>
    </row>
    <row r="126" spans="1:41" ht="14" customHeight="1" x14ac:dyDescent="0.25">
      <c r="A126" s="353"/>
      <c r="B126" s="353"/>
      <c r="C126" s="361" t="s">
        <v>2043</v>
      </c>
      <c r="D126" s="353"/>
      <c r="E126" s="353"/>
      <c r="F126" s="353"/>
      <c r="G126" s="353"/>
      <c r="H126" s="353"/>
      <c r="I126" s="353"/>
      <c r="J126" s="353"/>
      <c r="K126" s="353"/>
      <c r="L126" s="353"/>
      <c r="M126" s="353"/>
      <c r="N126" s="353"/>
      <c r="O126" s="353"/>
      <c r="P126" s="353"/>
      <c r="Q126" s="353"/>
      <c r="R126" s="353"/>
      <c r="S126" s="353"/>
      <c r="T126" s="353"/>
      <c r="U126" s="353"/>
      <c r="V126" s="353"/>
      <c r="W126" s="353"/>
      <c r="X126" s="353"/>
      <c r="Y126" s="353"/>
      <c r="Z126" s="353"/>
      <c r="AA126" s="353"/>
      <c r="AB126" s="353"/>
      <c r="AC126" s="353"/>
      <c r="AD126" s="353"/>
      <c r="AE126" s="353"/>
      <c r="AF126" s="353"/>
      <c r="AG126" s="353"/>
      <c r="AH126" s="353"/>
      <c r="AI126" s="353"/>
      <c r="AJ126" s="353"/>
      <c r="AK126" s="353"/>
      <c r="AL126" s="353"/>
      <c r="AM126" s="353"/>
      <c r="AN126" s="353"/>
      <c r="AO126" s="353"/>
    </row>
    <row r="127" spans="1:41" ht="14" customHeight="1" x14ac:dyDescent="0.25">
      <c r="A127" s="353"/>
      <c r="B127" s="353"/>
      <c r="C127" s="353"/>
      <c r="D127" s="353"/>
      <c r="E127" s="353"/>
      <c r="F127" s="353"/>
      <c r="G127" s="353"/>
      <c r="H127" s="353"/>
      <c r="I127" s="353"/>
      <c r="J127" s="353"/>
      <c r="K127" s="353"/>
      <c r="L127" s="353"/>
      <c r="M127" s="353"/>
      <c r="N127" s="353"/>
      <c r="O127" s="353"/>
      <c r="P127" s="353"/>
      <c r="Q127" s="353"/>
      <c r="R127" s="353"/>
      <c r="S127" s="353"/>
      <c r="T127" s="353"/>
      <c r="U127" s="353"/>
      <c r="V127" s="353"/>
      <c r="W127" s="353"/>
      <c r="X127" s="353"/>
      <c r="Y127" s="353"/>
      <c r="Z127" s="353"/>
      <c r="AA127" s="353"/>
      <c r="AB127" s="353"/>
      <c r="AC127" s="353"/>
      <c r="AD127" s="353"/>
      <c r="AE127" s="353"/>
      <c r="AF127" s="353"/>
      <c r="AG127" s="353"/>
      <c r="AH127" s="353"/>
      <c r="AI127" s="353"/>
      <c r="AJ127" s="353"/>
      <c r="AK127" s="353"/>
      <c r="AL127" s="353"/>
      <c r="AM127" s="353"/>
      <c r="AN127" s="353"/>
      <c r="AO127" s="353"/>
    </row>
    <row r="128" spans="1:41" ht="14" customHeight="1" x14ac:dyDescent="0.25">
      <c r="A128" s="353"/>
      <c r="B128" s="353"/>
      <c r="C128" s="353" t="s">
        <v>2044</v>
      </c>
      <c r="D128" s="353"/>
      <c r="E128" s="353"/>
      <c r="F128" s="353"/>
      <c r="G128" s="353"/>
      <c r="H128" s="353"/>
      <c r="I128" s="353"/>
      <c r="J128" s="353" t="s">
        <v>2045</v>
      </c>
      <c r="K128" s="353"/>
      <c r="L128" s="353"/>
      <c r="M128" s="353"/>
      <c r="N128" s="353"/>
      <c r="O128" s="353"/>
      <c r="P128" s="353" t="s">
        <v>2046</v>
      </c>
      <c r="Q128" s="353"/>
      <c r="R128" s="353"/>
      <c r="S128" s="353"/>
      <c r="T128" s="353"/>
      <c r="U128" s="353" t="s">
        <v>2047</v>
      </c>
      <c r="V128" s="353"/>
      <c r="W128" s="353"/>
      <c r="X128" s="353"/>
      <c r="Y128" s="353"/>
      <c r="Z128" s="353"/>
      <c r="AA128" s="353"/>
      <c r="AB128" s="353"/>
      <c r="AC128" s="353"/>
      <c r="AD128" s="353"/>
      <c r="AE128" s="353"/>
      <c r="AF128" s="353"/>
      <c r="AG128" s="353"/>
      <c r="AH128" s="353"/>
      <c r="AI128" s="353"/>
      <c r="AJ128" s="353"/>
      <c r="AK128" s="353"/>
      <c r="AL128" s="353"/>
      <c r="AM128" s="353"/>
      <c r="AN128" s="353"/>
      <c r="AO128" s="353"/>
    </row>
    <row r="129" spans="1:41" ht="14" customHeight="1" x14ac:dyDescent="0.25">
      <c r="A129" s="353"/>
      <c r="B129" s="353"/>
      <c r="C129" s="365" t="s">
        <v>2048</v>
      </c>
      <c r="D129" s="366"/>
      <c r="E129" s="366"/>
      <c r="F129" s="366"/>
      <c r="G129" s="366"/>
      <c r="H129" s="366"/>
      <c r="I129" s="367"/>
      <c r="J129" s="705">
        <f>IF('JMF SHEET PG 1'!$E$41&lt;&gt;"",'JMF SHEET PG 1'!$E$41,"")</f>
        <v>100</v>
      </c>
      <c r="K129" s="705"/>
      <c r="L129" s="705"/>
      <c r="M129" s="705"/>
      <c r="N129" s="705"/>
      <c r="O129" s="353"/>
      <c r="P129" s="705">
        <f>IF('JMF SHEET PG 1'!$I$41&lt;&gt;"",'JMF SHEET PG 1'!$I$41,"")</f>
        <v>100</v>
      </c>
      <c r="Q129" s="705"/>
      <c r="R129" s="705"/>
      <c r="S129" s="705"/>
      <c r="T129" s="705"/>
      <c r="U129" s="705">
        <f>IF('JMF SHEET PG 1'!$M$41&lt;&gt;"",'JMF SHEET PG 1'!$M$41,"")</f>
        <v>100</v>
      </c>
      <c r="V129" s="705"/>
      <c r="W129" s="705"/>
      <c r="X129" s="705"/>
      <c r="Y129" s="705"/>
      <c r="Z129" s="353"/>
      <c r="AA129" s="353"/>
      <c r="AB129" s="353"/>
      <c r="AC129" s="353"/>
      <c r="AD129" s="353"/>
      <c r="AE129" s="353"/>
      <c r="AF129" s="353"/>
      <c r="AG129" s="353"/>
      <c r="AH129" s="353"/>
      <c r="AI129" s="353"/>
      <c r="AJ129" s="353"/>
      <c r="AK129" s="353"/>
      <c r="AL129" s="353"/>
      <c r="AM129" s="353"/>
      <c r="AN129" s="353"/>
      <c r="AO129" s="353"/>
    </row>
    <row r="130" spans="1:41" ht="14" customHeight="1" x14ac:dyDescent="0.25">
      <c r="A130" s="353"/>
      <c r="B130" s="353"/>
      <c r="C130" s="365" t="s">
        <v>2049</v>
      </c>
      <c r="D130" s="366"/>
      <c r="E130" s="366"/>
      <c r="F130" s="366"/>
      <c r="G130" s="366"/>
      <c r="H130" s="366"/>
      <c r="I130" s="367"/>
      <c r="J130" s="705">
        <f>IF('JMF SHEET PG 1'!$E$42&lt;&gt;"",'JMF SHEET PG 1'!$E$42,"")</f>
        <v>100</v>
      </c>
      <c r="K130" s="705"/>
      <c r="L130" s="705"/>
      <c r="M130" s="705"/>
      <c r="N130" s="705"/>
      <c r="O130" s="353"/>
      <c r="P130" s="705" t="str">
        <f>IF('JMF SHEET PG 1'!$I$42&lt;&gt;"",'JMF SHEET PG 1'!$I$42,"")</f>
        <v/>
      </c>
      <c r="Q130" s="705"/>
      <c r="R130" s="705"/>
      <c r="S130" s="705"/>
      <c r="T130" s="705"/>
      <c r="U130" s="705" t="str">
        <f>IF('JMF SHEET PG 1'!$M$42&lt;&gt;"",'JMF SHEET PG 1'!$M$42,"")</f>
        <v/>
      </c>
      <c r="V130" s="705"/>
      <c r="W130" s="705"/>
      <c r="X130" s="705"/>
      <c r="Y130" s="705"/>
      <c r="Z130" s="353"/>
      <c r="AA130" s="353"/>
      <c r="AB130" s="353"/>
      <c r="AC130" s="353"/>
      <c r="AD130" s="353"/>
      <c r="AE130" s="353"/>
      <c r="AF130" s="353"/>
      <c r="AG130" s="353"/>
      <c r="AH130" s="353"/>
      <c r="AI130" s="353"/>
      <c r="AJ130" s="353"/>
      <c r="AK130" s="353"/>
      <c r="AL130" s="353"/>
      <c r="AM130" s="353"/>
      <c r="AN130" s="353"/>
      <c r="AO130" s="353"/>
    </row>
    <row r="131" spans="1:41" ht="14" customHeight="1" x14ac:dyDescent="0.25">
      <c r="A131" s="353"/>
      <c r="B131" s="353"/>
      <c r="C131" s="368" t="s">
        <v>2050</v>
      </c>
      <c r="D131" s="369"/>
      <c r="E131" s="369"/>
      <c r="F131" s="369"/>
      <c r="G131" s="369"/>
      <c r="H131" s="369"/>
      <c r="I131" s="370"/>
      <c r="J131" s="705">
        <f>IF('JMF SHEET PG 1'!$E$43&lt;&gt;"",'JMF SHEET PG 1'!$E$43,"")</f>
        <v>100</v>
      </c>
      <c r="K131" s="705"/>
      <c r="L131" s="705"/>
      <c r="M131" s="705"/>
      <c r="N131" s="705"/>
      <c r="O131" s="353"/>
      <c r="P131" s="705">
        <f>IF('JMF SHEET PG 1'!$I$43&lt;&gt;"",'JMF SHEET PG 1'!$I$43,"")</f>
        <v>75</v>
      </c>
      <c r="Q131" s="705"/>
      <c r="R131" s="705"/>
      <c r="S131" s="705"/>
      <c r="T131" s="705"/>
      <c r="U131" s="705">
        <f>IF('JMF SHEET PG 1'!$M$43&lt;&gt;"",'JMF SHEET PG 1'!$M$43,"")</f>
        <v>100</v>
      </c>
      <c r="V131" s="705"/>
      <c r="W131" s="705"/>
      <c r="X131" s="705"/>
      <c r="Y131" s="705"/>
      <c r="Z131" s="353"/>
      <c r="AA131" s="353"/>
      <c r="AB131" s="353"/>
      <c r="AC131" s="353"/>
      <c r="AD131" s="353"/>
      <c r="AE131" s="353"/>
      <c r="AF131" s="353"/>
      <c r="AG131" s="353"/>
      <c r="AH131" s="353"/>
      <c r="AI131" s="353"/>
      <c r="AJ131" s="353"/>
      <c r="AK131" s="353"/>
      <c r="AL131" s="353"/>
      <c r="AM131" s="353"/>
      <c r="AN131" s="353"/>
      <c r="AO131" s="353"/>
    </row>
    <row r="132" spans="1:41" ht="14" customHeight="1" x14ac:dyDescent="0.25">
      <c r="A132" s="353"/>
      <c r="B132" s="353"/>
      <c r="C132" s="368" t="s">
        <v>2051</v>
      </c>
      <c r="D132" s="369"/>
      <c r="E132" s="369"/>
      <c r="F132" s="369"/>
      <c r="G132" s="369"/>
      <c r="H132" s="369"/>
      <c r="I132" s="370"/>
      <c r="J132" s="705">
        <f>IF('JMF SHEET PG 1'!$E$44&lt;&gt;"",'JMF SHEET PG 1'!$E$44,"")</f>
        <v>96.1</v>
      </c>
      <c r="K132" s="705"/>
      <c r="L132" s="705"/>
      <c r="M132" s="705"/>
      <c r="N132" s="705"/>
      <c r="O132" s="353"/>
      <c r="P132" s="705" t="str">
        <f>IF('JMF SHEET PG 1'!$I$44&lt;&gt;"",'JMF SHEET PG 1'!$I$44,"")</f>
        <v/>
      </c>
      <c r="Q132" s="705"/>
      <c r="R132" s="705"/>
      <c r="S132" s="705"/>
      <c r="T132" s="705"/>
      <c r="U132" s="705" t="str">
        <f>IF('JMF SHEET PG 1'!$M$44&lt;&gt;"",'JMF SHEET PG 1'!$M$44,"")</f>
        <v/>
      </c>
      <c r="V132" s="705"/>
      <c r="W132" s="705"/>
      <c r="X132" s="705"/>
      <c r="Y132" s="705"/>
      <c r="Z132" s="353"/>
      <c r="AA132" s="353"/>
      <c r="AB132" s="353"/>
      <c r="AC132" s="353"/>
      <c r="AD132" s="353"/>
      <c r="AE132" s="353"/>
      <c r="AF132" s="353"/>
      <c r="AG132" s="353"/>
      <c r="AH132" s="353"/>
      <c r="AI132" s="353"/>
      <c r="AJ132" s="353"/>
      <c r="AK132" s="353"/>
      <c r="AL132" s="353"/>
      <c r="AM132" s="353"/>
      <c r="AN132" s="353"/>
      <c r="AO132" s="353"/>
    </row>
    <row r="133" spans="1:41" ht="14" customHeight="1" x14ac:dyDescent="0.25">
      <c r="A133" s="353"/>
      <c r="B133" s="353"/>
      <c r="C133" s="368" t="s">
        <v>2052</v>
      </c>
      <c r="D133" s="369"/>
      <c r="E133" s="369"/>
      <c r="F133" s="369"/>
      <c r="G133" s="369"/>
      <c r="H133" s="369"/>
      <c r="I133" s="370"/>
      <c r="J133" s="705">
        <f>IF('JMF SHEET PG 1'!$E$45&lt;&gt;"",'JMF SHEET PG 1'!$E$45,"")</f>
        <v>79</v>
      </c>
      <c r="K133" s="705"/>
      <c r="L133" s="705"/>
      <c r="M133" s="705"/>
      <c r="N133" s="705"/>
      <c r="O133" s="353"/>
      <c r="P133" s="705">
        <f>IF('JMF SHEET PG 1'!$I$45&lt;&gt;"",'JMF SHEET PG 1'!$I$45,"")</f>
        <v>50</v>
      </c>
      <c r="Q133" s="705"/>
      <c r="R133" s="705"/>
      <c r="S133" s="705"/>
      <c r="T133" s="705"/>
      <c r="U133" s="705">
        <f>IF('JMF SHEET PG 1'!$M$45&lt;&gt;"",'JMF SHEET PG 1'!$M$45,"")</f>
        <v>85</v>
      </c>
      <c r="V133" s="705"/>
      <c r="W133" s="705"/>
      <c r="X133" s="705"/>
      <c r="Y133" s="705"/>
      <c r="Z133" s="353"/>
      <c r="AA133" s="353"/>
      <c r="AB133" s="353"/>
      <c r="AC133" s="353"/>
      <c r="AD133" s="353"/>
      <c r="AE133" s="353"/>
      <c r="AF133" s="353"/>
      <c r="AG133" s="353"/>
      <c r="AH133" s="353"/>
      <c r="AI133" s="353"/>
      <c r="AJ133" s="353"/>
      <c r="AK133" s="353"/>
      <c r="AL133" s="353"/>
      <c r="AM133" s="353"/>
      <c r="AN133" s="353"/>
      <c r="AO133" s="353"/>
    </row>
    <row r="134" spans="1:41" ht="14" customHeight="1" x14ac:dyDescent="0.25">
      <c r="A134" s="353"/>
      <c r="B134" s="353"/>
      <c r="C134" s="368" t="s">
        <v>2053</v>
      </c>
      <c r="D134" s="369"/>
      <c r="E134" s="369"/>
      <c r="F134" s="369"/>
      <c r="G134" s="369"/>
      <c r="H134" s="369"/>
      <c r="I134" s="370"/>
      <c r="J134" s="705">
        <f>IF('JMF SHEET PG 1'!$E$46&lt;&gt;"",'JMF SHEET PG 1'!$E$46,"")</f>
        <v>71</v>
      </c>
      <c r="K134" s="705"/>
      <c r="L134" s="705"/>
      <c r="M134" s="705"/>
      <c r="N134" s="705"/>
      <c r="O134" s="353"/>
      <c r="P134" s="705" t="str">
        <f>IF('JMF SHEET PG 1'!$I$46&lt;&gt;"",'JMF SHEET PG 1'!$I$46,"")</f>
        <v/>
      </c>
      <c r="Q134" s="705"/>
      <c r="R134" s="705"/>
      <c r="S134" s="705"/>
      <c r="T134" s="705"/>
      <c r="U134" s="705" t="str">
        <f>IF('JMF SHEET PG 1'!$M$46&lt;&gt;"",'JMF SHEET PG 1'!$M$46,"")</f>
        <v/>
      </c>
      <c r="V134" s="705"/>
      <c r="W134" s="705"/>
      <c r="X134" s="705"/>
      <c r="Y134" s="705"/>
      <c r="Z134" s="353"/>
      <c r="AA134" s="353"/>
      <c r="AB134" s="353"/>
      <c r="AC134" s="353"/>
      <c r="AD134" s="353"/>
      <c r="AE134" s="353"/>
      <c r="AF134" s="353"/>
      <c r="AG134" s="353"/>
      <c r="AH134" s="353"/>
      <c r="AI134" s="353"/>
      <c r="AJ134" s="353"/>
      <c r="AK134" s="353"/>
      <c r="AL134" s="353"/>
      <c r="AM134" s="353"/>
      <c r="AN134" s="353"/>
      <c r="AO134" s="353"/>
    </row>
    <row r="135" spans="1:41" ht="14" customHeight="1" x14ac:dyDescent="0.25">
      <c r="A135" s="353"/>
      <c r="B135" s="353"/>
      <c r="C135" s="368" t="s">
        <v>2054</v>
      </c>
      <c r="D135" s="369"/>
      <c r="E135" s="369"/>
      <c r="F135" s="369"/>
      <c r="G135" s="369"/>
      <c r="H135" s="369"/>
      <c r="I135" s="370"/>
      <c r="J135" s="705">
        <f>IF('JMF SHEET PG 1'!$E$47&lt;&gt;"",'JMF SHEET PG 1'!$E$47,"")</f>
        <v>50</v>
      </c>
      <c r="K135" s="705"/>
      <c r="L135" s="705"/>
      <c r="M135" s="705"/>
      <c r="N135" s="705"/>
      <c r="O135" s="353"/>
      <c r="P135" s="705">
        <f>IF('JMF SHEET PG 1'!$I$47&lt;&gt;"",'JMF SHEET PG 1'!$I$47,"")</f>
        <v>25</v>
      </c>
      <c r="Q135" s="705"/>
      <c r="R135" s="705"/>
      <c r="S135" s="705"/>
      <c r="T135" s="705"/>
      <c r="U135" s="705">
        <f>IF('JMF SHEET PG 1'!$M$47&lt;&gt;"",'JMF SHEET PG 1'!$M$47,"")</f>
        <v>60</v>
      </c>
      <c r="V135" s="705"/>
      <c r="W135" s="705"/>
      <c r="X135" s="705"/>
      <c r="Y135" s="705"/>
      <c r="Z135" s="353"/>
      <c r="AA135" s="353"/>
      <c r="AB135" s="353"/>
      <c r="AC135" s="353"/>
      <c r="AD135" s="353"/>
      <c r="AE135" s="353"/>
      <c r="AF135" s="353"/>
      <c r="AG135" s="353"/>
      <c r="AH135" s="353"/>
      <c r="AI135" s="353"/>
      <c r="AJ135" s="353"/>
      <c r="AK135" s="353"/>
      <c r="AL135" s="353"/>
      <c r="AM135" s="353"/>
      <c r="AN135" s="353"/>
      <c r="AO135" s="353"/>
    </row>
    <row r="136" spans="1:41" ht="14" customHeight="1" x14ac:dyDescent="0.25">
      <c r="A136" s="353"/>
      <c r="B136" s="353"/>
      <c r="C136" s="365" t="s">
        <v>2055</v>
      </c>
      <c r="D136" s="366"/>
      <c r="E136" s="366"/>
      <c r="F136" s="366"/>
      <c r="G136" s="366"/>
      <c r="H136" s="366"/>
      <c r="I136" s="367"/>
      <c r="J136" s="705">
        <f>IF('JMF SHEET PG 1'!$E$48&lt;&gt;"",'JMF SHEET PG 1'!$E$48,"")</f>
        <v>38</v>
      </c>
      <c r="K136" s="705"/>
      <c r="L136" s="705"/>
      <c r="M136" s="705"/>
      <c r="N136" s="705"/>
      <c r="O136" s="353"/>
      <c r="P136" s="705">
        <f>IF('JMF SHEET PG 1'!$I$48&lt;&gt;"",'JMF SHEET PG 1'!$I$48,"")</f>
        <v>15</v>
      </c>
      <c r="Q136" s="705"/>
      <c r="R136" s="705"/>
      <c r="S136" s="705"/>
      <c r="T136" s="705"/>
      <c r="U136" s="705">
        <f>IF('JMF SHEET PG 1'!$M$48&lt;&gt;"",'JMF SHEET PG 1'!$M$48,"")</f>
        <v>45</v>
      </c>
      <c r="V136" s="705"/>
      <c r="W136" s="705"/>
      <c r="X136" s="705"/>
      <c r="Y136" s="705"/>
      <c r="Z136" s="353"/>
      <c r="AA136" s="353"/>
      <c r="AB136" s="353"/>
      <c r="AC136" s="353"/>
      <c r="AD136" s="353"/>
      <c r="AE136" s="353"/>
      <c r="AF136" s="353"/>
      <c r="AG136" s="353"/>
      <c r="AH136" s="353"/>
      <c r="AI136" s="353"/>
      <c r="AJ136" s="353"/>
      <c r="AK136" s="353"/>
      <c r="AL136" s="353"/>
      <c r="AM136" s="353"/>
      <c r="AN136" s="353"/>
      <c r="AO136" s="353"/>
    </row>
    <row r="137" spans="1:41" ht="14" customHeight="1" x14ac:dyDescent="0.25">
      <c r="A137" s="353"/>
      <c r="B137" s="353"/>
      <c r="C137" s="371" t="s">
        <v>2056</v>
      </c>
      <c r="D137" s="364"/>
      <c r="E137" s="364"/>
      <c r="F137" s="364"/>
      <c r="G137" s="364"/>
      <c r="H137" s="364"/>
      <c r="I137" s="372"/>
      <c r="J137" s="705">
        <f>IF('JMF SHEET PG 1'!$E$49&lt;&gt;"",'JMF SHEET PG 1'!$E$49,"")</f>
        <v>28</v>
      </c>
      <c r="K137" s="705"/>
      <c r="L137" s="705"/>
      <c r="M137" s="705"/>
      <c r="N137" s="705"/>
      <c r="O137" s="353"/>
      <c r="P137" s="705">
        <f>IF('JMF SHEET PG 1'!$I$49&lt;&gt;"",'JMF SHEET PG 1'!$I$49,"")</f>
        <v>10</v>
      </c>
      <c r="Q137" s="705"/>
      <c r="R137" s="705"/>
      <c r="S137" s="705"/>
      <c r="T137" s="705"/>
      <c r="U137" s="705">
        <f>IF('JMF SHEET PG 1'!$M$49&lt;&gt;"",'JMF SHEET PG 1'!$M$49,"")</f>
        <v>35</v>
      </c>
      <c r="V137" s="705"/>
      <c r="W137" s="705"/>
      <c r="X137" s="705"/>
      <c r="Y137" s="705"/>
      <c r="Z137" s="353"/>
      <c r="AA137" s="353"/>
      <c r="AB137" s="353"/>
      <c r="AC137" s="353"/>
      <c r="AD137" s="353"/>
      <c r="AE137" s="353"/>
      <c r="AF137" s="353"/>
      <c r="AG137" s="353"/>
      <c r="AH137" s="353"/>
      <c r="AI137" s="353"/>
      <c r="AJ137" s="353"/>
      <c r="AK137" s="353"/>
      <c r="AL137" s="353"/>
      <c r="AM137" s="353"/>
      <c r="AN137" s="353"/>
      <c r="AO137" s="353"/>
    </row>
    <row r="138" spans="1:41" ht="14" customHeight="1" x14ac:dyDescent="0.25">
      <c r="A138" s="353"/>
      <c r="B138" s="353"/>
      <c r="C138" s="371" t="s">
        <v>2057</v>
      </c>
      <c r="D138" s="364"/>
      <c r="E138" s="364"/>
      <c r="F138" s="364"/>
      <c r="G138" s="364"/>
      <c r="H138" s="364"/>
      <c r="I138" s="372"/>
      <c r="J138" s="705">
        <f>IF('JMF SHEET PG 1'!$E$50&lt;&gt;"",'JMF SHEET PG 1'!$E$50,"")</f>
        <v>20</v>
      </c>
      <c r="K138" s="705"/>
      <c r="L138" s="705"/>
      <c r="M138" s="705"/>
      <c r="N138" s="705"/>
      <c r="O138" s="353"/>
      <c r="P138" s="705" t="str">
        <f>IF('JMF SHEET PG 1'!$I$50&lt;&gt;"",'JMF SHEET PG 1'!$I$50,"")</f>
        <v/>
      </c>
      <c r="Q138" s="705"/>
      <c r="R138" s="705"/>
      <c r="S138" s="705"/>
      <c r="T138" s="705"/>
      <c r="U138" s="705" t="str">
        <f>IF('JMF SHEET PG 1'!$M$50&lt;&gt;"",'JMF SHEET PG 1'!$M$50,"")</f>
        <v/>
      </c>
      <c r="V138" s="705"/>
      <c r="W138" s="705"/>
      <c r="X138" s="705"/>
      <c r="Y138" s="705"/>
      <c r="Z138" s="353"/>
      <c r="AA138" s="353"/>
      <c r="AB138" s="353"/>
      <c r="AC138" s="353"/>
      <c r="AD138" s="353"/>
      <c r="AE138" s="353"/>
      <c r="AF138" s="353"/>
      <c r="AG138" s="353"/>
      <c r="AH138" s="353"/>
      <c r="AI138" s="353"/>
      <c r="AJ138" s="353"/>
      <c r="AK138" s="353"/>
      <c r="AL138" s="353"/>
      <c r="AM138" s="353"/>
      <c r="AN138" s="353"/>
      <c r="AO138" s="353"/>
    </row>
    <row r="139" spans="1:41" ht="14" customHeight="1" x14ac:dyDescent="0.25">
      <c r="A139" s="353"/>
      <c r="B139" s="353"/>
      <c r="C139" s="371" t="s">
        <v>2058</v>
      </c>
      <c r="D139" s="364"/>
      <c r="E139" s="364"/>
      <c r="F139" s="364"/>
      <c r="G139" s="364"/>
      <c r="H139" s="364"/>
      <c r="I139" s="372"/>
      <c r="J139" s="705">
        <f>IF('JMF SHEET PG 1'!$E$51&lt;&gt;"",'JMF SHEET PG 1'!$E$51,"")</f>
        <v>12</v>
      </c>
      <c r="K139" s="705"/>
      <c r="L139" s="705"/>
      <c r="M139" s="705"/>
      <c r="N139" s="705"/>
      <c r="O139" s="353"/>
      <c r="P139" s="705">
        <f>IF('JMF SHEET PG 1'!$I$51&lt;&gt;"",'JMF SHEET PG 1'!$I$51,"")</f>
        <v>3</v>
      </c>
      <c r="Q139" s="705"/>
      <c r="R139" s="705"/>
      <c r="S139" s="705"/>
      <c r="T139" s="705"/>
      <c r="U139" s="705">
        <f>IF('JMF SHEET PG 1'!$M$51&lt;&gt;"",'JMF SHEET PG 1'!$M$51,"")</f>
        <v>18</v>
      </c>
      <c r="V139" s="705"/>
      <c r="W139" s="705"/>
      <c r="X139" s="705"/>
      <c r="Y139" s="705"/>
      <c r="Z139" s="353"/>
      <c r="AA139" s="353"/>
      <c r="AB139" s="353"/>
      <c r="AC139" s="353"/>
      <c r="AD139" s="353"/>
      <c r="AE139" s="353"/>
      <c r="AF139" s="353"/>
      <c r="AG139" s="353"/>
      <c r="AH139" s="353"/>
      <c r="AI139" s="353"/>
      <c r="AJ139" s="353"/>
      <c r="AK139" s="353"/>
      <c r="AL139" s="353"/>
      <c r="AM139" s="353"/>
      <c r="AN139" s="353"/>
      <c r="AO139" s="353"/>
    </row>
    <row r="140" spans="1:41" ht="14" customHeight="1" x14ac:dyDescent="0.25">
      <c r="A140" s="353"/>
      <c r="B140" s="353"/>
      <c r="C140" s="371" t="s">
        <v>2059</v>
      </c>
      <c r="D140" s="364"/>
      <c r="E140" s="364"/>
      <c r="F140" s="364"/>
      <c r="G140" s="364"/>
      <c r="H140" s="364"/>
      <c r="I140" s="372"/>
      <c r="J140" s="705">
        <f>IF('JMF SHEET PG 1'!$E$52&lt;&gt;"",'JMF SHEET PG 1'!$E$52,"")</f>
        <v>7</v>
      </c>
      <c r="K140" s="705"/>
      <c r="L140" s="705"/>
      <c r="M140" s="705"/>
      <c r="N140" s="705"/>
      <c r="O140" s="353"/>
      <c r="P140" s="705" t="str">
        <f>IF('JMF SHEET PG 1'!$I$52&lt;&gt;"",'JMF SHEET PG 1'!$I$52,"")</f>
        <v/>
      </c>
      <c r="Q140" s="705"/>
      <c r="R140" s="705"/>
      <c r="S140" s="705"/>
      <c r="T140" s="705"/>
      <c r="U140" s="705" t="str">
        <f>IF('JMF SHEET PG 1'!$M$52&lt;&gt;"",'JMF SHEET PG 1'!$M$52,"")</f>
        <v/>
      </c>
      <c r="V140" s="705"/>
      <c r="W140" s="705"/>
      <c r="X140" s="705"/>
      <c r="Y140" s="705"/>
      <c r="Z140" s="353"/>
      <c r="AA140" s="353"/>
      <c r="AB140" s="353"/>
      <c r="AC140" s="353"/>
      <c r="AD140" s="353"/>
      <c r="AE140" s="353"/>
      <c r="AF140" s="353"/>
      <c r="AG140" s="353"/>
      <c r="AH140" s="353"/>
      <c r="AI140" s="353"/>
      <c r="AJ140" s="353"/>
      <c r="AK140" s="353"/>
      <c r="AL140" s="353"/>
      <c r="AM140" s="353"/>
      <c r="AN140" s="353"/>
      <c r="AO140" s="353"/>
    </row>
    <row r="141" spans="1:41" ht="14" customHeight="1" x14ac:dyDescent="0.25">
      <c r="A141" s="353"/>
      <c r="B141" s="353"/>
      <c r="C141" s="371" t="s">
        <v>2060</v>
      </c>
      <c r="D141" s="364"/>
      <c r="E141" s="364"/>
      <c r="F141" s="364"/>
      <c r="G141" s="364"/>
      <c r="H141" s="364"/>
      <c r="I141" s="372"/>
      <c r="J141" s="704">
        <f>IF('JMF SHEET PG 1'!$E$53&lt;&gt;"",'JMF SHEET PG 1'!$E$53,"")</f>
        <v>4.5999999999999996</v>
      </c>
      <c r="K141" s="704"/>
      <c r="L141" s="704"/>
      <c r="M141" s="704"/>
      <c r="N141" s="704"/>
      <c r="O141" s="353"/>
      <c r="P141" s="704">
        <f>IF('JMF SHEET PG 1'!$I$53&lt;&gt;"",'JMF SHEET PG 1'!$I$53,"")</f>
        <v>1</v>
      </c>
      <c r="Q141" s="704"/>
      <c r="R141" s="704"/>
      <c r="S141" s="704"/>
      <c r="T141" s="704"/>
      <c r="U141" s="704">
        <f>IF('JMF SHEET PG 1'!$M$53&lt;&gt;"",'JMF SHEET PG 1'!$M$53,"")</f>
        <v>7</v>
      </c>
      <c r="V141" s="704"/>
      <c r="W141" s="704"/>
      <c r="X141" s="704"/>
      <c r="Y141" s="704"/>
      <c r="Z141" s="353"/>
      <c r="AA141" s="353"/>
      <c r="AB141" s="353"/>
      <c r="AC141" s="353"/>
      <c r="AD141" s="353"/>
      <c r="AE141" s="353"/>
      <c r="AF141" s="353"/>
      <c r="AG141" s="353"/>
      <c r="AH141" s="353"/>
      <c r="AI141" s="353"/>
      <c r="AJ141" s="353"/>
      <c r="AK141" s="353"/>
      <c r="AL141" s="353"/>
      <c r="AM141" s="353"/>
      <c r="AN141" s="353"/>
      <c r="AO141" s="353"/>
    </row>
    <row r="142" spans="1:41" ht="14" customHeight="1" x14ac:dyDescent="0.25">
      <c r="A142" s="353"/>
      <c r="B142" s="353"/>
      <c r="C142" s="353"/>
      <c r="D142" s="353"/>
      <c r="E142" s="353"/>
      <c r="F142" s="353"/>
      <c r="G142" s="353"/>
      <c r="H142" s="353"/>
      <c r="I142" s="353"/>
      <c r="J142" s="353"/>
      <c r="K142" s="353"/>
      <c r="L142" s="353"/>
      <c r="M142" s="353"/>
      <c r="N142" s="353"/>
      <c r="O142" s="353"/>
      <c r="P142" s="353"/>
      <c r="Q142" s="353"/>
      <c r="R142" s="353"/>
      <c r="S142" s="353"/>
      <c r="T142" s="353"/>
      <c r="U142" s="353"/>
      <c r="V142" s="353"/>
      <c r="W142" s="353"/>
      <c r="X142" s="353"/>
      <c r="Y142" s="353"/>
      <c r="Z142" s="353"/>
      <c r="AA142" s="353"/>
      <c r="AB142" s="353"/>
      <c r="AC142" s="353"/>
      <c r="AD142" s="353"/>
      <c r="AE142" s="353"/>
      <c r="AF142" s="353"/>
      <c r="AG142" s="353"/>
      <c r="AH142" s="353"/>
      <c r="AI142" s="353"/>
      <c r="AJ142" s="353"/>
      <c r="AK142" s="353"/>
      <c r="AL142" s="353"/>
      <c r="AM142" s="353"/>
      <c r="AN142" s="353"/>
      <c r="AO142" s="353"/>
    </row>
    <row r="143" spans="1:41" ht="14" customHeight="1" x14ac:dyDescent="0.25">
      <c r="A143" s="353"/>
      <c r="B143" s="353"/>
      <c r="C143" s="353"/>
      <c r="D143" s="353"/>
      <c r="E143" s="353"/>
      <c r="F143" s="353"/>
      <c r="G143" s="353"/>
      <c r="H143" s="353"/>
      <c r="I143" s="353"/>
      <c r="J143" s="353"/>
      <c r="K143" s="353"/>
      <c r="L143" s="353"/>
      <c r="M143" s="353"/>
      <c r="N143" s="353"/>
      <c r="O143" s="353"/>
      <c r="P143" s="353"/>
      <c r="Q143" s="353"/>
      <c r="R143" s="353"/>
      <c r="S143" s="353"/>
      <c r="T143" s="353"/>
      <c r="U143" s="353"/>
      <c r="V143" s="353"/>
      <c r="W143" s="353"/>
      <c r="X143" s="353"/>
      <c r="Y143" s="353"/>
      <c r="Z143" s="353"/>
      <c r="AA143" s="353"/>
      <c r="AB143" s="353"/>
      <c r="AC143" s="353"/>
      <c r="AD143" s="353"/>
      <c r="AE143" s="353"/>
      <c r="AF143" s="353"/>
      <c r="AG143" s="353"/>
      <c r="AH143" s="353"/>
      <c r="AI143" s="353"/>
      <c r="AJ143" s="353"/>
      <c r="AK143" s="353"/>
      <c r="AL143" s="353"/>
      <c r="AM143" s="353"/>
      <c r="AN143" s="353"/>
      <c r="AO143" s="373" t="s">
        <v>1265</v>
      </c>
    </row>
    <row r="145" spans="1:41" ht="14" customHeight="1" x14ac:dyDescent="0.25">
      <c r="A145" s="374"/>
      <c r="C145" s="374"/>
      <c r="E145" s="374"/>
      <c r="G145" s="374"/>
      <c r="I145" s="374"/>
      <c r="K145" s="374"/>
      <c r="M145" s="374"/>
      <c r="O145" s="374"/>
      <c r="Q145" s="374"/>
      <c r="S145" s="374"/>
      <c r="U145" s="374"/>
      <c r="W145" s="374"/>
      <c r="Y145" s="374"/>
      <c r="AA145" s="374"/>
      <c r="AC145" s="374"/>
      <c r="AE145" s="374"/>
      <c r="AG145" s="374"/>
      <c r="AI145" s="374"/>
      <c r="AK145" s="374"/>
      <c r="AM145" s="374"/>
      <c r="AO145" s="374"/>
    </row>
    <row r="146" spans="1:41" ht="14" customHeight="1" x14ac:dyDescent="0.25">
      <c r="A146" s="374"/>
    </row>
    <row r="147" spans="1:41" ht="14" customHeight="1" x14ac:dyDescent="0.25">
      <c r="A147" s="374"/>
    </row>
    <row r="148" spans="1:41" ht="14" customHeight="1" x14ac:dyDescent="0.25">
      <c r="A148" s="374"/>
    </row>
    <row r="149" spans="1:41" ht="14" customHeight="1" x14ac:dyDescent="0.25">
      <c r="A149" s="374"/>
    </row>
    <row r="150" spans="1:41" ht="14" customHeight="1" x14ac:dyDescent="0.25">
      <c r="A150" s="374"/>
    </row>
    <row r="151" spans="1:41" ht="14" customHeight="1" x14ac:dyDescent="0.25">
      <c r="A151" s="374"/>
    </row>
    <row r="152" spans="1:41" ht="14" customHeight="1" x14ac:dyDescent="0.25">
      <c r="A152" s="374"/>
    </row>
    <row r="153" spans="1:41" ht="14" customHeight="1" x14ac:dyDescent="0.25">
      <c r="A153" s="374"/>
    </row>
    <row r="154" spans="1:41" ht="14" customHeight="1" x14ac:dyDescent="0.25">
      <c r="A154" s="374"/>
    </row>
    <row r="155" spans="1:41" ht="14" customHeight="1" x14ac:dyDescent="0.25">
      <c r="A155" s="374"/>
    </row>
    <row r="156" spans="1:41" ht="14" customHeight="1" x14ac:dyDescent="0.25">
      <c r="A156" s="374"/>
    </row>
    <row r="157" spans="1:41" ht="14" customHeight="1" x14ac:dyDescent="0.25">
      <c r="A157" s="374"/>
    </row>
    <row r="158" spans="1:41" ht="14" customHeight="1" x14ac:dyDescent="0.25">
      <c r="A158" s="374"/>
    </row>
    <row r="159" spans="1:41" ht="14" customHeight="1" x14ac:dyDescent="0.25">
      <c r="A159" s="374"/>
    </row>
    <row r="160" spans="1:41" ht="14" customHeight="1" x14ac:dyDescent="0.25">
      <c r="A160" s="374"/>
    </row>
    <row r="161" spans="1:1" ht="14" customHeight="1" x14ac:dyDescent="0.25">
      <c r="A161" s="374"/>
    </row>
    <row r="162" spans="1:1" ht="14" customHeight="1" x14ac:dyDescent="0.25">
      <c r="A162" s="374"/>
    </row>
    <row r="163" spans="1:1" ht="14" customHeight="1" x14ac:dyDescent="0.25">
      <c r="A163" s="374"/>
    </row>
    <row r="164" spans="1:1" ht="14" customHeight="1" x14ac:dyDescent="0.25">
      <c r="A164" s="374"/>
    </row>
    <row r="165" spans="1:1" ht="14" customHeight="1" x14ac:dyDescent="0.25">
      <c r="A165" s="374"/>
    </row>
  </sheetData>
  <sheetProtection algorithmName="SHA-512" hashValue="hUoDS1p/KIgBTvSkdDDxXll8LsnwodtftVtluaB+Yz0wYib3McrccrPEXcAMu8PAb+lUOhKO4BIAAdSxCVQUlg==" saltValue="YOZgN72E3LgEY9RjeXDWnw==" spinCount="100000" sheet="1" objects="1" scenarios="1"/>
  <dataConsolidate/>
  <mergeCells count="170">
    <mergeCell ref="J18:Q18"/>
    <mergeCell ref="S18:AH18"/>
    <mergeCell ref="J19:Q19"/>
    <mergeCell ref="S19:AH19"/>
    <mergeCell ref="J21:O21"/>
    <mergeCell ref="AH21:AL21"/>
    <mergeCell ref="H7:AF7"/>
    <mergeCell ref="J9:N9"/>
    <mergeCell ref="J10:N10"/>
    <mergeCell ref="J11:N11"/>
    <mergeCell ref="J15:N15"/>
    <mergeCell ref="J17:Q17"/>
    <mergeCell ref="S17:AH17"/>
    <mergeCell ref="J25:N25"/>
    <mergeCell ref="AH25:AL25"/>
    <mergeCell ref="J26:N26"/>
    <mergeCell ref="AH26:AL26"/>
    <mergeCell ref="J27:N27"/>
    <mergeCell ref="AH27:AL27"/>
    <mergeCell ref="J22:Q22"/>
    <mergeCell ref="AH22:AL22"/>
    <mergeCell ref="AH23:AL23"/>
    <mergeCell ref="J24:N24"/>
    <mergeCell ref="AH24:AL24"/>
    <mergeCell ref="J23:P23"/>
    <mergeCell ref="J31:N31"/>
    <mergeCell ref="AH31:AL31"/>
    <mergeCell ref="J32:X32"/>
    <mergeCell ref="AH32:AL32"/>
    <mergeCell ref="J33:N33"/>
    <mergeCell ref="AH33:AL33"/>
    <mergeCell ref="J28:N28"/>
    <mergeCell ref="AH28:AL28"/>
    <mergeCell ref="J29:N29"/>
    <mergeCell ref="AH29:AL29"/>
    <mergeCell ref="J30:N30"/>
    <mergeCell ref="AH30:AL30"/>
    <mergeCell ref="J37:N37"/>
    <mergeCell ref="J38:N38"/>
    <mergeCell ref="J39:N39"/>
    <mergeCell ref="H44:L44"/>
    <mergeCell ref="M44:R44"/>
    <mergeCell ref="S44:AJ44"/>
    <mergeCell ref="J34:X34"/>
    <mergeCell ref="AH34:AL34"/>
    <mergeCell ref="J35:N35"/>
    <mergeCell ref="AH35:AL35"/>
    <mergeCell ref="J36:X36"/>
    <mergeCell ref="AH36:AL36"/>
    <mergeCell ref="H51:L51"/>
    <mergeCell ref="M51:R51"/>
    <mergeCell ref="S51:Y51"/>
    <mergeCell ref="Z51:AF51"/>
    <mergeCell ref="AG51:AM51"/>
    <mergeCell ref="H54:L54"/>
    <mergeCell ref="M54:R54"/>
    <mergeCell ref="S54:AJ54"/>
    <mergeCell ref="H46:L46"/>
    <mergeCell ref="M46:R46"/>
    <mergeCell ref="S46:Y46"/>
    <mergeCell ref="Z46:AF46"/>
    <mergeCell ref="AG46:AM46"/>
    <mergeCell ref="H49:L49"/>
    <mergeCell ref="M49:R49"/>
    <mergeCell ref="S49:AJ49"/>
    <mergeCell ref="H61:L61"/>
    <mergeCell ref="M61:R61"/>
    <mergeCell ref="S61:Y61"/>
    <mergeCell ref="Z61:AF61"/>
    <mergeCell ref="AG61:AM61"/>
    <mergeCell ref="H65:L65"/>
    <mergeCell ref="M65:R65"/>
    <mergeCell ref="S65:AJ65"/>
    <mergeCell ref="H56:L56"/>
    <mergeCell ref="M56:R56"/>
    <mergeCell ref="S56:Y56"/>
    <mergeCell ref="Z56:AF56"/>
    <mergeCell ref="AG56:AM56"/>
    <mergeCell ref="H59:L59"/>
    <mergeCell ref="M59:R59"/>
    <mergeCell ref="S59:AJ59"/>
    <mergeCell ref="H72:L72"/>
    <mergeCell ref="M72:R72"/>
    <mergeCell ref="S72:Y72"/>
    <mergeCell ref="Z72:AF72"/>
    <mergeCell ref="AG72:AM72"/>
    <mergeCell ref="H80:AF80"/>
    <mergeCell ref="H67:L67"/>
    <mergeCell ref="M67:R67"/>
    <mergeCell ref="S67:Y67"/>
    <mergeCell ref="Z67:AF67"/>
    <mergeCell ref="AG67:AM67"/>
    <mergeCell ref="H70:L70"/>
    <mergeCell ref="M70:R70"/>
    <mergeCell ref="S70:AJ70"/>
    <mergeCell ref="H88:L88"/>
    <mergeCell ref="M88:R88"/>
    <mergeCell ref="S88:AJ88"/>
    <mergeCell ref="H90:L90"/>
    <mergeCell ref="M90:R90"/>
    <mergeCell ref="S90:Y90"/>
    <mergeCell ref="Z90:AF90"/>
    <mergeCell ref="AG90:AM90"/>
    <mergeCell ref="H83:L83"/>
    <mergeCell ref="M83:R83"/>
    <mergeCell ref="S83:AJ83"/>
    <mergeCell ref="H85:L85"/>
    <mergeCell ref="M85:R85"/>
    <mergeCell ref="S85:Y85"/>
    <mergeCell ref="Z85:AF85"/>
    <mergeCell ref="AG85:AM85"/>
    <mergeCell ref="H105:L105"/>
    <mergeCell ref="H107:L107"/>
    <mergeCell ref="M107:Q107"/>
    <mergeCell ref="H110:L110"/>
    <mergeCell ref="H112:L112"/>
    <mergeCell ref="M112:Q112"/>
    <mergeCell ref="H94:L94"/>
    <mergeCell ref="H96:L96"/>
    <mergeCell ref="M96:R96"/>
    <mergeCell ref="H100:L100"/>
    <mergeCell ref="H102:L102"/>
    <mergeCell ref="M102:Q102"/>
    <mergeCell ref="W122:AF122"/>
    <mergeCell ref="H124:L124"/>
    <mergeCell ref="J129:N129"/>
    <mergeCell ref="P129:T129"/>
    <mergeCell ref="U129:Y129"/>
    <mergeCell ref="J130:N130"/>
    <mergeCell ref="P130:T130"/>
    <mergeCell ref="U130:Y130"/>
    <mergeCell ref="H116:L116"/>
    <mergeCell ref="M116:T116"/>
    <mergeCell ref="H118:L118"/>
    <mergeCell ref="M118:Q118"/>
    <mergeCell ref="H122:L122"/>
    <mergeCell ref="M122:V122"/>
    <mergeCell ref="J133:N133"/>
    <mergeCell ref="P133:T133"/>
    <mergeCell ref="U133:Y133"/>
    <mergeCell ref="J134:N134"/>
    <mergeCell ref="P134:T134"/>
    <mergeCell ref="U134:Y134"/>
    <mergeCell ref="J131:N131"/>
    <mergeCell ref="P131:T131"/>
    <mergeCell ref="U131:Y131"/>
    <mergeCell ref="J132:N132"/>
    <mergeCell ref="P132:T132"/>
    <mergeCell ref="U132:Y132"/>
    <mergeCell ref="J137:N137"/>
    <mergeCell ref="P137:T137"/>
    <mergeCell ref="U137:Y137"/>
    <mergeCell ref="J138:N138"/>
    <mergeCell ref="P138:T138"/>
    <mergeCell ref="U138:Y138"/>
    <mergeCell ref="J135:N135"/>
    <mergeCell ref="P135:T135"/>
    <mergeCell ref="U135:Y135"/>
    <mergeCell ref="J136:N136"/>
    <mergeCell ref="P136:T136"/>
    <mergeCell ref="U136:Y136"/>
    <mergeCell ref="J141:N141"/>
    <mergeCell ref="P141:T141"/>
    <mergeCell ref="U141:Y141"/>
    <mergeCell ref="J139:N139"/>
    <mergeCell ref="P139:T139"/>
    <mergeCell ref="U139:Y139"/>
    <mergeCell ref="J140:N140"/>
    <mergeCell ref="P140:T140"/>
    <mergeCell ref="U140:Y140"/>
  </mergeCells>
  <printOptions horizontalCentered="1"/>
  <pageMargins left="0.5" right="0.5" top="0.5" bottom="0.5" header="0.3" footer="0.3"/>
  <pageSetup scale="73" fitToHeight="2" orientation="portrait" r:id="rId1"/>
  <rowBreaks count="1" manualBreakCount="1">
    <brk id="73" max="40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8026-BA22-4C7D-85B4-70A791282A08}">
  <sheetPr>
    <tabColor rgb="FF92D050"/>
  </sheetPr>
  <dimension ref="A1:P99"/>
  <sheetViews>
    <sheetView zoomScale="50" zoomScaleNormal="50" workbookViewId="0"/>
  </sheetViews>
  <sheetFormatPr defaultColWidth="8.90625" defaultRowHeight="13" x14ac:dyDescent="0.25"/>
  <cols>
    <col min="1" max="1" width="2.81640625" style="40" customWidth="1"/>
    <col min="2" max="2" width="91" style="34" bestFit="1" customWidth="1"/>
    <col min="3" max="3" width="10.81640625" style="33" customWidth="1"/>
    <col min="4" max="4" width="21" style="33" customWidth="1"/>
    <col min="5" max="12" width="24.6328125" style="33" customWidth="1"/>
    <col min="13" max="13" width="14.81640625" style="33" customWidth="1"/>
    <col min="14" max="14" width="2.81640625" style="37" customWidth="1"/>
  </cols>
  <sheetData>
    <row r="1" spans="1:16" s="45" customFormat="1" x14ac:dyDescent="0.3">
      <c r="A1" s="37"/>
      <c r="B1" s="38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7"/>
    </row>
    <row r="2" spans="1:16" s="45" customFormat="1" x14ac:dyDescent="0.3">
      <c r="A2" s="37"/>
      <c r="B2" s="65" t="s">
        <v>350</v>
      </c>
      <c r="C2" s="39" t="s">
        <v>336</v>
      </c>
      <c r="D2" s="66">
        <v>45566</v>
      </c>
      <c r="E2" s="39"/>
      <c r="F2" s="39"/>
      <c r="G2" s="39"/>
      <c r="H2" s="39"/>
      <c r="I2" s="39"/>
      <c r="J2" s="39"/>
      <c r="K2" s="39"/>
      <c r="L2" s="39"/>
      <c r="M2" s="39"/>
      <c r="N2" s="37"/>
    </row>
    <row r="3" spans="1:16" s="45" customFormat="1" x14ac:dyDescent="0.3">
      <c r="A3" s="37"/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7"/>
    </row>
    <row r="4" spans="1:16" x14ac:dyDescent="0.25">
      <c r="B4" s="67" t="s">
        <v>334</v>
      </c>
      <c r="C4" s="31" t="str">
        <f>"="</f>
        <v>=</v>
      </c>
      <c r="D4" s="68">
        <v>2023</v>
      </c>
      <c r="E4" s="39"/>
      <c r="F4" s="39"/>
      <c r="G4" s="39"/>
      <c r="H4" s="39"/>
      <c r="I4" s="39"/>
      <c r="J4" s="39"/>
      <c r="K4" s="39"/>
      <c r="L4" s="39"/>
      <c r="M4" s="39"/>
    </row>
    <row r="5" spans="1:16" x14ac:dyDescent="0.25">
      <c r="B5" s="67" t="s">
        <v>349</v>
      </c>
      <c r="C5" s="31" t="str">
        <f>"="</f>
        <v>=</v>
      </c>
      <c r="D5" s="69">
        <v>45492</v>
      </c>
      <c r="E5" s="39"/>
      <c r="F5" s="39"/>
      <c r="G5" s="39"/>
      <c r="H5" s="39"/>
      <c r="I5" s="39"/>
      <c r="J5" s="39"/>
      <c r="K5" s="39"/>
      <c r="L5" s="39"/>
      <c r="M5" s="39"/>
    </row>
    <row r="7" spans="1:16" s="34" customFormat="1" x14ac:dyDescent="0.25">
      <c r="A7" s="40"/>
      <c r="B7" s="40"/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37"/>
    </row>
    <row r="8" spans="1:16" s="34" customFormat="1" ht="13.5" thickBot="1" x14ac:dyDescent="0.3">
      <c r="A8" s="40"/>
      <c r="D8" s="33"/>
      <c r="E8" s="33"/>
      <c r="F8" s="33"/>
      <c r="G8" s="33"/>
      <c r="H8" s="33"/>
      <c r="I8" s="33"/>
      <c r="J8" s="33"/>
      <c r="K8" s="33"/>
      <c r="L8" s="33"/>
      <c r="M8" s="33"/>
      <c r="N8" s="37"/>
    </row>
    <row r="9" spans="1:16" s="34" customFormat="1" x14ac:dyDescent="0.25">
      <c r="A9" s="40"/>
      <c r="B9" s="43"/>
      <c r="D9" s="47" t="str">
        <f>IF('TRANS. COV.'!U35&lt;&gt;"",'TRANS. COV.'!U35,"")</f>
        <v>301 Base</v>
      </c>
      <c r="E9" s="33" t="s">
        <v>1909</v>
      </c>
      <c r="F9" s="33"/>
      <c r="G9" s="33"/>
      <c r="H9" s="33"/>
      <c r="I9" s="33"/>
      <c r="J9" s="33"/>
      <c r="K9" s="33"/>
      <c r="L9" s="33"/>
      <c r="M9" s="33"/>
      <c r="N9" s="37"/>
    </row>
    <row r="10" spans="1:16" s="34" customFormat="1" x14ac:dyDescent="0.25">
      <c r="A10" s="40"/>
      <c r="D10" s="46"/>
      <c r="E10" s="33"/>
      <c r="F10" s="33"/>
      <c r="G10" s="33"/>
      <c r="H10" s="33"/>
      <c r="I10" s="33"/>
      <c r="J10" s="33"/>
      <c r="K10" s="33"/>
      <c r="L10" s="33"/>
      <c r="M10" s="33"/>
      <c r="N10" s="37"/>
    </row>
    <row r="11" spans="1:16" s="34" customFormat="1" x14ac:dyDescent="0.25">
      <c r="A11" s="40"/>
      <c r="B11" s="34" t="s">
        <v>1911</v>
      </c>
      <c r="C11" s="33" t="str">
        <f>"&lt;="</f>
        <v>&lt;=</v>
      </c>
      <c r="D11" s="46">
        <f>IF($D$9=$E$9,E11,"")</f>
        <v>50</v>
      </c>
      <c r="E11" s="33">
        <v>50</v>
      </c>
      <c r="F11" s="33"/>
      <c r="G11" s="33"/>
      <c r="H11" s="33"/>
      <c r="I11" s="33"/>
      <c r="J11" s="33"/>
      <c r="K11" s="33"/>
      <c r="L11" s="33"/>
      <c r="M11" s="33"/>
      <c r="N11" s="37"/>
    </row>
    <row r="12" spans="1:16" s="34" customFormat="1" x14ac:dyDescent="0.25">
      <c r="A12" s="40"/>
      <c r="B12" s="34" t="s">
        <v>1912</v>
      </c>
      <c r="C12" s="33" t="str">
        <f>"&lt;="</f>
        <v>&lt;=</v>
      </c>
      <c r="D12" s="46">
        <f t="shared" ref="D12:D75" si="0">IF($D$9=$E$9,E12,"")</f>
        <v>50</v>
      </c>
      <c r="E12" s="33">
        <v>50</v>
      </c>
      <c r="F12" s="33"/>
      <c r="G12" s="33"/>
      <c r="H12" s="33"/>
      <c r="I12" s="33"/>
      <c r="J12" s="33"/>
      <c r="K12" s="33"/>
      <c r="L12" s="33"/>
      <c r="M12" s="33"/>
      <c r="N12" s="37"/>
      <c r="P12" s="42"/>
    </row>
    <row r="13" spans="1:16" s="33" customFormat="1" x14ac:dyDescent="0.25">
      <c r="A13" s="40"/>
      <c r="B13" s="34"/>
      <c r="D13" s="46"/>
      <c r="N13" s="37"/>
    </row>
    <row r="14" spans="1:16" s="33" customFormat="1" x14ac:dyDescent="0.25">
      <c r="A14" s="40"/>
      <c r="B14" s="34" t="s">
        <v>1913</v>
      </c>
      <c r="C14" s="33" t="str">
        <f>"&lt;="</f>
        <v>&lt;=</v>
      </c>
      <c r="D14" s="46">
        <f t="shared" si="0"/>
        <v>55</v>
      </c>
      <c r="E14" s="33">
        <v>55</v>
      </c>
      <c r="N14" s="37"/>
    </row>
    <row r="15" spans="1:16" s="33" customFormat="1" x14ac:dyDescent="0.25">
      <c r="A15" s="40"/>
      <c r="B15" s="34" t="s">
        <v>1914</v>
      </c>
      <c r="C15" s="33" t="str">
        <f>"&lt;="</f>
        <v>&lt;=</v>
      </c>
      <c r="D15" s="46">
        <f t="shared" si="0"/>
        <v>55</v>
      </c>
      <c r="E15" s="33">
        <v>55</v>
      </c>
      <c r="N15" s="37"/>
    </row>
    <row r="16" spans="1:16" s="34" customFormat="1" x14ac:dyDescent="0.25">
      <c r="A16" s="40"/>
      <c r="C16" s="33"/>
      <c r="D16" s="46"/>
      <c r="E16" s="33"/>
      <c r="F16" s="33"/>
      <c r="G16" s="33"/>
      <c r="H16" s="33"/>
      <c r="I16" s="33"/>
      <c r="J16" s="33"/>
      <c r="K16" s="33"/>
      <c r="L16" s="33"/>
      <c r="M16" s="33"/>
      <c r="N16" s="37"/>
    </row>
    <row r="17" spans="1:16" s="34" customFormat="1" x14ac:dyDescent="0.25">
      <c r="A17" s="40"/>
      <c r="B17" s="34" t="s">
        <v>1915</v>
      </c>
      <c r="C17" s="33" t="str">
        <f>"&gt;="</f>
        <v>&gt;=</v>
      </c>
      <c r="D17" s="46">
        <f t="shared" si="0"/>
        <v>2.7</v>
      </c>
      <c r="E17" s="33">
        <v>2.7</v>
      </c>
      <c r="F17" s="33"/>
      <c r="G17" s="33"/>
      <c r="H17" s="33"/>
      <c r="I17" s="33"/>
      <c r="J17" s="33"/>
      <c r="K17" s="33"/>
      <c r="L17" s="33"/>
      <c r="M17" s="33"/>
      <c r="N17" s="37"/>
    </row>
    <row r="18" spans="1:16" s="34" customFormat="1" x14ac:dyDescent="0.25">
      <c r="A18" s="40"/>
      <c r="B18" s="34" t="s">
        <v>1916</v>
      </c>
      <c r="C18" s="33" t="str">
        <f>"&gt;="</f>
        <v>&gt;=</v>
      </c>
      <c r="D18" s="46">
        <f t="shared" si="0"/>
        <v>2.7</v>
      </c>
      <c r="E18" s="33">
        <v>2.7</v>
      </c>
      <c r="F18" s="33"/>
      <c r="G18" s="33"/>
      <c r="H18" s="33"/>
      <c r="I18" s="33"/>
      <c r="J18" s="33"/>
      <c r="K18" s="33"/>
      <c r="L18" s="33"/>
      <c r="M18" s="33"/>
      <c r="N18" s="37"/>
    </row>
    <row r="19" spans="1:16" s="34" customFormat="1" x14ac:dyDescent="0.25">
      <c r="A19" s="40"/>
      <c r="C19" s="33"/>
      <c r="D19" s="46"/>
      <c r="E19" s="33"/>
      <c r="F19" s="33"/>
      <c r="G19" s="33"/>
      <c r="H19" s="33"/>
      <c r="I19" s="33"/>
      <c r="J19" s="33"/>
      <c r="K19" s="33"/>
      <c r="L19" s="33"/>
      <c r="M19" s="33"/>
      <c r="N19" s="37"/>
    </row>
    <row r="20" spans="1:16" s="34" customFormat="1" x14ac:dyDescent="0.25">
      <c r="A20" s="40"/>
      <c r="B20" s="34" t="s">
        <v>1917</v>
      </c>
      <c r="C20" s="33" t="str">
        <f>"&gt;="</f>
        <v>&gt;=</v>
      </c>
      <c r="D20" s="46">
        <f t="shared" si="0"/>
        <v>2.5</v>
      </c>
      <c r="E20" s="33">
        <v>2.5</v>
      </c>
      <c r="F20" s="33"/>
      <c r="G20" s="33"/>
      <c r="H20" s="33"/>
      <c r="I20" s="33"/>
      <c r="J20" s="33"/>
      <c r="K20" s="33"/>
      <c r="L20" s="33"/>
      <c r="M20" s="33"/>
      <c r="N20" s="37"/>
    </row>
    <row r="21" spans="1:16" s="34" customFormat="1" x14ac:dyDescent="0.25">
      <c r="A21" s="40"/>
      <c r="B21" s="34" t="s">
        <v>1918</v>
      </c>
      <c r="C21" s="33" t="str">
        <f>"&gt;="</f>
        <v>&gt;=</v>
      </c>
      <c r="D21" s="46">
        <f t="shared" si="0"/>
        <v>2.5</v>
      </c>
      <c r="E21" s="33">
        <v>2.5</v>
      </c>
      <c r="F21" s="33"/>
      <c r="G21" s="33"/>
      <c r="H21" s="33"/>
      <c r="I21" s="33"/>
      <c r="J21" s="33"/>
      <c r="K21" s="33"/>
      <c r="L21" s="33"/>
      <c r="M21" s="33"/>
      <c r="N21" s="37"/>
    </row>
    <row r="22" spans="1:16" s="34" customFormat="1" x14ac:dyDescent="0.25">
      <c r="A22" s="40"/>
      <c r="C22" s="33"/>
      <c r="D22" s="46"/>
      <c r="E22" s="33"/>
      <c r="F22" s="33"/>
      <c r="G22" s="33"/>
      <c r="H22" s="33"/>
      <c r="I22" s="33"/>
      <c r="J22" s="33"/>
      <c r="K22" s="33"/>
      <c r="L22" s="33"/>
      <c r="M22" s="33"/>
      <c r="N22" s="37"/>
    </row>
    <row r="23" spans="1:16" s="34" customFormat="1" x14ac:dyDescent="0.25">
      <c r="A23" s="40"/>
      <c r="B23" s="34" t="s">
        <v>1919</v>
      </c>
      <c r="C23" s="32" t="str">
        <f>"&gt;="</f>
        <v>&gt;=</v>
      </c>
      <c r="D23" s="46">
        <f t="shared" si="0"/>
        <v>100</v>
      </c>
      <c r="E23" s="33">
        <v>100</v>
      </c>
      <c r="F23" s="33"/>
      <c r="G23" s="33"/>
      <c r="H23" s="33"/>
      <c r="I23" s="33"/>
      <c r="J23" s="33"/>
      <c r="K23" s="33"/>
      <c r="L23" s="33"/>
      <c r="M23" s="33"/>
      <c r="N23" s="37"/>
      <c r="P23" s="44"/>
    </row>
    <row r="24" spans="1:16" s="34" customFormat="1" x14ac:dyDescent="0.25">
      <c r="A24" s="40"/>
      <c r="B24" s="34" t="s">
        <v>1920</v>
      </c>
      <c r="C24" s="32" t="str">
        <f>"&lt;="</f>
        <v>&lt;=</v>
      </c>
      <c r="D24" s="46">
        <f t="shared" si="0"/>
        <v>100</v>
      </c>
      <c r="E24" s="33">
        <v>100</v>
      </c>
      <c r="F24" s="33"/>
      <c r="G24" s="33"/>
      <c r="H24" s="33"/>
      <c r="I24" s="33"/>
      <c r="J24" s="33"/>
      <c r="K24" s="33"/>
      <c r="L24" s="33"/>
      <c r="M24" s="33"/>
      <c r="N24" s="37"/>
    </row>
    <row r="25" spans="1:16" s="34" customFormat="1" x14ac:dyDescent="0.25">
      <c r="A25" s="40"/>
      <c r="B25" s="34" t="s">
        <v>1921</v>
      </c>
      <c r="C25" s="32" t="str">
        <f>"&gt;="</f>
        <v>&gt;=</v>
      </c>
      <c r="D25" s="46" t="str">
        <f t="shared" si="0"/>
        <v>N/A</v>
      </c>
      <c r="E25" s="33" t="s">
        <v>335</v>
      </c>
      <c r="F25" s="33"/>
      <c r="G25" s="33"/>
      <c r="H25" s="33"/>
      <c r="I25" s="33"/>
      <c r="J25" s="33"/>
      <c r="K25" s="33"/>
      <c r="L25" s="33"/>
      <c r="M25" s="33"/>
      <c r="N25" s="37"/>
    </row>
    <row r="26" spans="1:16" s="34" customFormat="1" x14ac:dyDescent="0.25">
      <c r="A26" s="40"/>
      <c r="B26" s="34" t="s">
        <v>1922</v>
      </c>
      <c r="C26" s="32" t="str">
        <f>"&lt;="</f>
        <v>&lt;=</v>
      </c>
      <c r="D26" s="46" t="str">
        <f t="shared" si="0"/>
        <v>N/A</v>
      </c>
      <c r="E26" s="33" t="s">
        <v>335</v>
      </c>
      <c r="F26" s="33"/>
      <c r="G26" s="33"/>
      <c r="H26" s="33"/>
      <c r="I26" s="33"/>
      <c r="J26" s="33"/>
      <c r="K26" s="33"/>
      <c r="L26" s="33"/>
      <c r="M26" s="33"/>
      <c r="N26" s="37"/>
    </row>
    <row r="27" spans="1:16" s="34" customFormat="1" x14ac:dyDescent="0.25">
      <c r="A27" s="40"/>
      <c r="B27" s="34" t="s">
        <v>1923</v>
      </c>
      <c r="C27" s="32" t="str">
        <f>"&gt;="</f>
        <v>&gt;=</v>
      </c>
      <c r="D27" s="46">
        <f t="shared" si="0"/>
        <v>75</v>
      </c>
      <c r="E27" s="33">
        <v>75</v>
      </c>
      <c r="F27" s="33"/>
      <c r="G27" s="33"/>
      <c r="H27" s="33"/>
      <c r="I27" s="33"/>
      <c r="J27" s="33"/>
      <c r="K27" s="33"/>
      <c r="L27" s="33"/>
      <c r="M27" s="33"/>
      <c r="N27" s="37"/>
    </row>
    <row r="28" spans="1:16" s="34" customFormat="1" x14ac:dyDescent="0.25">
      <c r="A28" s="40"/>
      <c r="B28" s="34" t="s">
        <v>1924</v>
      </c>
      <c r="C28" s="32" t="str">
        <f>"&lt;="</f>
        <v>&lt;=</v>
      </c>
      <c r="D28" s="46">
        <f t="shared" si="0"/>
        <v>100</v>
      </c>
      <c r="E28" s="33">
        <v>100</v>
      </c>
      <c r="F28" s="33"/>
      <c r="G28" s="33"/>
      <c r="H28" s="33"/>
      <c r="I28" s="33"/>
      <c r="J28" s="33"/>
      <c r="K28" s="33"/>
      <c r="L28" s="33"/>
      <c r="M28" s="33"/>
      <c r="N28" s="37"/>
    </row>
    <row r="29" spans="1:16" s="34" customFormat="1" x14ac:dyDescent="0.25">
      <c r="A29" s="40"/>
      <c r="B29" s="34" t="s">
        <v>1925</v>
      </c>
      <c r="C29" s="32" t="str">
        <f>"&gt;="</f>
        <v>&gt;=</v>
      </c>
      <c r="D29" s="46" t="str">
        <f t="shared" si="0"/>
        <v>N/A</v>
      </c>
      <c r="E29" s="33" t="s">
        <v>335</v>
      </c>
      <c r="F29" s="33"/>
      <c r="G29" s="33"/>
      <c r="H29" s="33"/>
      <c r="I29" s="33"/>
      <c r="J29" s="33"/>
      <c r="K29" s="33"/>
      <c r="L29" s="33"/>
      <c r="M29" s="33"/>
      <c r="N29" s="37"/>
    </row>
    <row r="30" spans="1:16" s="34" customFormat="1" x14ac:dyDescent="0.25">
      <c r="A30" s="40"/>
      <c r="B30" s="34" t="s">
        <v>1926</v>
      </c>
      <c r="C30" s="32" t="str">
        <f>"&lt;="</f>
        <v>&lt;=</v>
      </c>
      <c r="D30" s="46" t="str">
        <f t="shared" si="0"/>
        <v>N/A</v>
      </c>
      <c r="E30" s="33" t="s">
        <v>335</v>
      </c>
      <c r="F30" s="33"/>
      <c r="G30" s="33"/>
      <c r="H30" s="33"/>
      <c r="I30" s="33"/>
      <c r="J30" s="33"/>
      <c r="K30" s="33"/>
      <c r="L30" s="33"/>
      <c r="M30" s="33"/>
      <c r="N30" s="37"/>
    </row>
    <row r="31" spans="1:16" s="34" customFormat="1" x14ac:dyDescent="0.25">
      <c r="A31" s="40"/>
      <c r="B31" s="34" t="s">
        <v>1927</v>
      </c>
      <c r="C31" s="32" t="str">
        <f>"&gt;="</f>
        <v>&gt;=</v>
      </c>
      <c r="D31" s="46">
        <f t="shared" si="0"/>
        <v>50</v>
      </c>
      <c r="E31" s="33">
        <v>50</v>
      </c>
      <c r="F31" s="33"/>
      <c r="G31" s="33"/>
      <c r="H31" s="33"/>
      <c r="I31" s="33"/>
      <c r="J31" s="33"/>
      <c r="K31" s="33"/>
      <c r="L31" s="33"/>
      <c r="M31" s="33"/>
      <c r="N31" s="37"/>
    </row>
    <row r="32" spans="1:16" s="34" customFormat="1" x14ac:dyDescent="0.25">
      <c r="A32" s="40"/>
      <c r="B32" s="34" t="s">
        <v>1928</v>
      </c>
      <c r="C32" s="32" t="str">
        <f>"&lt;="</f>
        <v>&lt;=</v>
      </c>
      <c r="D32" s="46">
        <f t="shared" si="0"/>
        <v>85</v>
      </c>
      <c r="E32" s="33">
        <v>85</v>
      </c>
      <c r="F32" s="33"/>
      <c r="G32" s="33"/>
      <c r="H32" s="33"/>
      <c r="I32" s="33"/>
      <c r="J32" s="33"/>
      <c r="K32" s="33"/>
      <c r="L32" s="33"/>
      <c r="M32" s="33"/>
      <c r="N32" s="37"/>
    </row>
    <row r="33" spans="1:14" s="34" customFormat="1" x14ac:dyDescent="0.25">
      <c r="A33" s="40"/>
      <c r="B33" s="34" t="s">
        <v>1929</v>
      </c>
      <c r="C33" s="32" t="str">
        <f>"&gt;="</f>
        <v>&gt;=</v>
      </c>
      <c r="D33" s="46" t="str">
        <f t="shared" si="0"/>
        <v>N/A</v>
      </c>
      <c r="E33" s="33" t="s">
        <v>335</v>
      </c>
      <c r="F33" s="33"/>
      <c r="G33" s="33"/>
      <c r="H33" s="33"/>
      <c r="I33" s="33"/>
      <c r="J33" s="33"/>
      <c r="K33" s="33"/>
      <c r="L33" s="33"/>
      <c r="M33" s="33"/>
      <c r="N33" s="37"/>
    </row>
    <row r="34" spans="1:14" s="34" customFormat="1" x14ac:dyDescent="0.25">
      <c r="A34" s="40"/>
      <c r="B34" s="34" t="s">
        <v>1930</v>
      </c>
      <c r="C34" s="32" t="str">
        <f>"&lt;="</f>
        <v>&lt;=</v>
      </c>
      <c r="D34" s="46" t="str">
        <f t="shared" si="0"/>
        <v>N/A</v>
      </c>
      <c r="E34" s="33" t="s">
        <v>335</v>
      </c>
      <c r="F34" s="33"/>
      <c r="G34" s="33"/>
      <c r="H34" s="33"/>
      <c r="I34" s="33"/>
      <c r="J34" s="33"/>
      <c r="K34" s="33"/>
      <c r="L34" s="33"/>
      <c r="M34" s="33"/>
      <c r="N34" s="37"/>
    </row>
    <row r="35" spans="1:14" s="34" customFormat="1" x14ac:dyDescent="0.25">
      <c r="A35" s="40"/>
      <c r="B35" s="34" t="s">
        <v>1931</v>
      </c>
      <c r="C35" s="32" t="str">
        <f>"&gt;="</f>
        <v>&gt;=</v>
      </c>
      <c r="D35" s="46">
        <f t="shared" si="0"/>
        <v>25</v>
      </c>
      <c r="E35" s="33">
        <v>25</v>
      </c>
      <c r="F35" s="33"/>
      <c r="G35" s="33"/>
      <c r="H35" s="33"/>
      <c r="I35" s="33"/>
      <c r="J35" s="33"/>
      <c r="K35" s="33"/>
      <c r="L35" s="33"/>
      <c r="M35" s="33"/>
      <c r="N35" s="37"/>
    </row>
    <row r="36" spans="1:14" s="34" customFormat="1" x14ac:dyDescent="0.25">
      <c r="A36" s="40"/>
      <c r="B36" s="34" t="s">
        <v>1932</v>
      </c>
      <c r="C36" s="32" t="str">
        <f>"&lt;="</f>
        <v>&lt;=</v>
      </c>
      <c r="D36" s="46">
        <f t="shared" si="0"/>
        <v>60</v>
      </c>
      <c r="E36" s="33">
        <v>60</v>
      </c>
      <c r="F36" s="33"/>
      <c r="G36" s="33"/>
      <c r="H36" s="33"/>
      <c r="I36" s="33"/>
      <c r="J36" s="33"/>
      <c r="K36" s="33"/>
      <c r="L36" s="33"/>
      <c r="M36" s="33"/>
      <c r="N36" s="37"/>
    </row>
    <row r="37" spans="1:14" s="34" customFormat="1" x14ac:dyDescent="0.25">
      <c r="A37" s="40"/>
      <c r="B37" s="34" t="s">
        <v>1933</v>
      </c>
      <c r="C37" s="32" t="str">
        <f>"&gt;="</f>
        <v>&gt;=</v>
      </c>
      <c r="D37" s="46">
        <f t="shared" si="0"/>
        <v>15</v>
      </c>
      <c r="E37" s="33">
        <v>15</v>
      </c>
      <c r="F37" s="33"/>
      <c r="G37" s="33"/>
      <c r="H37" s="33"/>
      <c r="I37" s="33"/>
      <c r="J37" s="33"/>
      <c r="K37" s="33"/>
      <c r="L37" s="33"/>
      <c r="M37" s="33"/>
      <c r="N37" s="37"/>
    </row>
    <row r="38" spans="1:14" s="34" customFormat="1" x14ac:dyDescent="0.25">
      <c r="A38" s="40"/>
      <c r="B38" s="34" t="s">
        <v>1934</v>
      </c>
      <c r="C38" s="32" t="str">
        <f>"&lt;="</f>
        <v>&lt;=</v>
      </c>
      <c r="D38" s="46">
        <f t="shared" si="0"/>
        <v>45</v>
      </c>
      <c r="E38" s="33">
        <v>45</v>
      </c>
      <c r="F38" s="33"/>
      <c r="G38" s="33"/>
      <c r="H38" s="33"/>
      <c r="I38" s="33"/>
      <c r="J38" s="33"/>
      <c r="K38" s="33"/>
      <c r="L38" s="33"/>
      <c r="M38" s="33"/>
      <c r="N38" s="37"/>
    </row>
    <row r="39" spans="1:14" s="34" customFormat="1" x14ac:dyDescent="0.25">
      <c r="A39" s="40"/>
      <c r="B39" s="34" t="s">
        <v>1935</v>
      </c>
      <c r="C39" s="32" t="str">
        <f>"&gt;="</f>
        <v>&gt;=</v>
      </c>
      <c r="D39" s="46">
        <f t="shared" si="0"/>
        <v>10</v>
      </c>
      <c r="E39" s="33">
        <v>10</v>
      </c>
      <c r="F39" s="33"/>
      <c r="G39" s="33"/>
      <c r="H39" s="33"/>
      <c r="I39" s="33"/>
      <c r="J39" s="33"/>
      <c r="K39" s="33"/>
      <c r="L39" s="33"/>
      <c r="M39" s="33"/>
      <c r="N39" s="37"/>
    </row>
    <row r="40" spans="1:14" s="34" customFormat="1" x14ac:dyDescent="0.25">
      <c r="A40" s="40"/>
      <c r="B40" s="34" t="s">
        <v>1936</v>
      </c>
      <c r="C40" s="32" t="str">
        <f>"&lt;="</f>
        <v>&lt;=</v>
      </c>
      <c r="D40" s="46">
        <f t="shared" si="0"/>
        <v>35</v>
      </c>
      <c r="E40" s="33">
        <v>35</v>
      </c>
      <c r="F40" s="33"/>
      <c r="G40" s="33"/>
      <c r="H40" s="33"/>
      <c r="I40" s="33"/>
      <c r="J40" s="33"/>
      <c r="K40" s="33"/>
      <c r="L40" s="33"/>
      <c r="M40" s="33"/>
      <c r="N40" s="37"/>
    </row>
    <row r="41" spans="1:14" s="34" customFormat="1" x14ac:dyDescent="0.25">
      <c r="A41" s="40"/>
      <c r="B41" s="34" t="s">
        <v>1937</v>
      </c>
      <c r="C41" s="32" t="str">
        <f>"&gt;="</f>
        <v>&gt;=</v>
      </c>
      <c r="D41" s="46" t="str">
        <f t="shared" si="0"/>
        <v>N/A</v>
      </c>
      <c r="E41" s="33" t="s">
        <v>335</v>
      </c>
      <c r="F41" s="33"/>
      <c r="G41" s="33"/>
      <c r="H41" s="33"/>
      <c r="I41" s="33"/>
      <c r="J41" s="33"/>
      <c r="K41" s="33"/>
      <c r="L41" s="33"/>
      <c r="M41" s="33"/>
      <c r="N41" s="37"/>
    </row>
    <row r="42" spans="1:14" s="34" customFormat="1" x14ac:dyDescent="0.25">
      <c r="A42" s="40"/>
      <c r="B42" s="34" t="s">
        <v>1938</v>
      </c>
      <c r="C42" s="32" t="str">
        <f>"&lt;="</f>
        <v>&lt;=</v>
      </c>
      <c r="D42" s="46" t="str">
        <f t="shared" si="0"/>
        <v>N/A</v>
      </c>
      <c r="E42" s="33" t="s">
        <v>335</v>
      </c>
      <c r="F42" s="33"/>
      <c r="G42" s="33"/>
      <c r="H42" s="33"/>
      <c r="I42" s="33"/>
      <c r="J42" s="33"/>
      <c r="K42" s="33"/>
      <c r="L42" s="33"/>
      <c r="M42" s="33"/>
      <c r="N42" s="37"/>
    </row>
    <row r="43" spans="1:14" s="34" customFormat="1" x14ac:dyDescent="0.25">
      <c r="A43" s="40"/>
      <c r="B43" s="34" t="s">
        <v>1939</v>
      </c>
      <c r="C43" s="32" t="str">
        <f>"&gt;="</f>
        <v>&gt;=</v>
      </c>
      <c r="D43" s="46">
        <f t="shared" si="0"/>
        <v>3</v>
      </c>
      <c r="E43" s="33">
        <v>3</v>
      </c>
      <c r="F43" s="33"/>
      <c r="G43" s="33"/>
      <c r="H43" s="33"/>
      <c r="I43" s="33"/>
      <c r="J43" s="33"/>
      <c r="K43" s="33"/>
      <c r="L43" s="33"/>
      <c r="M43" s="33"/>
      <c r="N43" s="37"/>
    </row>
    <row r="44" spans="1:14" s="34" customFormat="1" x14ac:dyDescent="0.25">
      <c r="A44" s="40"/>
      <c r="B44" s="34" t="s">
        <v>1940</v>
      </c>
      <c r="C44" s="32" t="str">
        <f>"&lt;="</f>
        <v>&lt;=</v>
      </c>
      <c r="D44" s="46">
        <f t="shared" si="0"/>
        <v>18</v>
      </c>
      <c r="E44" s="33">
        <v>18</v>
      </c>
      <c r="F44" s="33"/>
      <c r="G44" s="33"/>
      <c r="H44" s="33"/>
      <c r="I44" s="33"/>
      <c r="J44" s="33"/>
      <c r="K44" s="33"/>
      <c r="L44" s="33"/>
      <c r="M44" s="33"/>
      <c r="N44" s="37"/>
    </row>
    <row r="45" spans="1:14" s="34" customFormat="1" x14ac:dyDescent="0.25">
      <c r="A45" s="40"/>
      <c r="B45" s="34" t="s">
        <v>1941</v>
      </c>
      <c r="C45" s="32" t="str">
        <f>"&gt;="</f>
        <v>&gt;=</v>
      </c>
      <c r="D45" s="46" t="str">
        <f t="shared" si="0"/>
        <v>N/A</v>
      </c>
      <c r="E45" s="33" t="s">
        <v>335</v>
      </c>
      <c r="F45" s="33"/>
      <c r="G45" s="33"/>
      <c r="H45" s="33"/>
      <c r="I45" s="33"/>
      <c r="J45" s="33"/>
      <c r="K45" s="33"/>
      <c r="L45" s="33"/>
      <c r="M45" s="33"/>
      <c r="N45" s="37"/>
    </row>
    <row r="46" spans="1:14" s="34" customFormat="1" x14ac:dyDescent="0.25">
      <c r="A46" s="40"/>
      <c r="B46" s="34" t="s">
        <v>1942</v>
      </c>
      <c r="C46" s="32" t="str">
        <f>"&lt;="</f>
        <v>&lt;=</v>
      </c>
      <c r="D46" s="46" t="str">
        <f t="shared" si="0"/>
        <v>N/A</v>
      </c>
      <c r="E46" s="33" t="s">
        <v>335</v>
      </c>
      <c r="F46" s="33"/>
      <c r="G46" s="33"/>
      <c r="H46" s="33"/>
      <c r="I46" s="33"/>
      <c r="J46" s="33"/>
      <c r="K46" s="33"/>
      <c r="L46" s="33"/>
      <c r="M46" s="33"/>
      <c r="N46" s="37"/>
    </row>
    <row r="47" spans="1:14" s="34" customFormat="1" x14ac:dyDescent="0.25">
      <c r="A47" s="40"/>
      <c r="B47" s="34" t="s">
        <v>1943</v>
      </c>
      <c r="C47" s="32" t="str">
        <f>"&gt;="</f>
        <v>&gt;=</v>
      </c>
      <c r="D47" s="46">
        <f t="shared" si="0"/>
        <v>1</v>
      </c>
      <c r="E47" s="33">
        <v>1</v>
      </c>
      <c r="F47" s="33"/>
      <c r="G47" s="33"/>
      <c r="H47" s="33"/>
      <c r="I47" s="33"/>
      <c r="J47" s="33"/>
      <c r="K47" s="33"/>
      <c r="L47" s="33"/>
      <c r="M47" s="33"/>
      <c r="N47" s="37"/>
    </row>
    <row r="48" spans="1:14" s="34" customFormat="1" x14ac:dyDescent="0.25">
      <c r="A48" s="40"/>
      <c r="B48" s="34" t="s">
        <v>1944</v>
      </c>
      <c r="C48" s="32" t="str">
        <f>"&lt;="</f>
        <v>&lt;=</v>
      </c>
      <c r="D48" s="46">
        <f t="shared" si="0"/>
        <v>7</v>
      </c>
      <c r="E48" s="33">
        <v>7</v>
      </c>
      <c r="F48" s="33"/>
      <c r="G48" s="33"/>
      <c r="H48" s="33"/>
      <c r="I48" s="33"/>
      <c r="J48" s="33"/>
      <c r="K48" s="33"/>
      <c r="L48" s="33"/>
      <c r="M48" s="33"/>
      <c r="N48" s="37"/>
    </row>
    <row r="49" spans="1:14" s="34" customFormat="1" x14ac:dyDescent="0.25">
      <c r="A49" s="40"/>
      <c r="C49" s="33"/>
      <c r="D49" s="46"/>
      <c r="E49" s="33"/>
      <c r="F49" s="33"/>
      <c r="G49" s="33"/>
      <c r="H49" s="33"/>
      <c r="I49" s="33"/>
      <c r="J49" s="33"/>
      <c r="K49" s="33"/>
      <c r="L49" s="33"/>
      <c r="M49" s="33"/>
      <c r="N49" s="37"/>
    </row>
    <row r="50" spans="1:14" s="34" customFormat="1" x14ac:dyDescent="0.25">
      <c r="A50" s="40"/>
      <c r="B50" s="64" t="s">
        <v>1945</v>
      </c>
      <c r="C50" s="32" t="str">
        <f>"&gt;="</f>
        <v>&gt;=</v>
      </c>
      <c r="D50" s="46">
        <f t="shared" si="0"/>
        <v>4.7</v>
      </c>
      <c r="E50" s="33">
        <v>4.7</v>
      </c>
      <c r="F50" s="33"/>
      <c r="G50" s="33"/>
      <c r="H50" s="33"/>
      <c r="I50" s="33"/>
      <c r="J50" s="33"/>
      <c r="K50" s="33"/>
      <c r="L50" s="33"/>
      <c r="M50" s="33"/>
      <c r="N50" s="37"/>
    </row>
    <row r="51" spans="1:14" s="34" customFormat="1" x14ac:dyDescent="0.25">
      <c r="A51" s="40"/>
      <c r="B51" s="64" t="s">
        <v>1946</v>
      </c>
      <c r="C51" s="32" t="str">
        <f>"&gt;="</f>
        <v>&gt;=</v>
      </c>
      <c r="D51" s="46">
        <f t="shared" si="0"/>
        <v>5</v>
      </c>
      <c r="E51" s="33">
        <v>5</v>
      </c>
      <c r="F51" s="33"/>
      <c r="G51" s="33"/>
      <c r="H51" s="33"/>
      <c r="I51" s="33"/>
      <c r="J51" s="33"/>
      <c r="K51" s="33"/>
      <c r="L51" s="33"/>
      <c r="M51" s="33"/>
      <c r="N51" s="37"/>
    </row>
    <row r="52" spans="1:14" s="34" customFormat="1" x14ac:dyDescent="0.25">
      <c r="A52" s="40"/>
      <c r="B52" s="34" t="s">
        <v>1947</v>
      </c>
      <c r="C52" s="32" t="str">
        <f>"&lt;="</f>
        <v>&lt;=</v>
      </c>
      <c r="D52" s="46">
        <f t="shared" si="0"/>
        <v>7</v>
      </c>
      <c r="E52" s="33">
        <v>7</v>
      </c>
      <c r="F52" s="33"/>
      <c r="G52" s="33"/>
      <c r="H52" s="33"/>
      <c r="I52" s="33"/>
      <c r="J52" s="33"/>
      <c r="K52" s="33"/>
      <c r="L52" s="33"/>
      <c r="M52" s="33"/>
      <c r="N52" s="37"/>
    </row>
    <row r="53" spans="1:14" s="34" customFormat="1" x14ac:dyDescent="0.25">
      <c r="A53" s="40"/>
      <c r="C53" s="33"/>
      <c r="D53" s="46"/>
      <c r="E53" s="33"/>
      <c r="F53" s="33"/>
      <c r="G53" s="33"/>
      <c r="H53" s="33"/>
      <c r="I53" s="33"/>
      <c r="J53" s="33"/>
      <c r="K53" s="33"/>
      <c r="L53" s="33"/>
      <c r="M53" s="33"/>
      <c r="N53" s="37"/>
    </row>
    <row r="54" spans="1:14" s="34" customFormat="1" x14ac:dyDescent="0.25">
      <c r="A54" s="40"/>
      <c r="B54" s="34" t="s">
        <v>1948</v>
      </c>
      <c r="C54" s="32" t="str">
        <f>"&gt;="</f>
        <v>&gt;=</v>
      </c>
      <c r="D54" s="46" t="str">
        <f t="shared" si="0"/>
        <v>N/A</v>
      </c>
      <c r="E54" s="33" t="s">
        <v>335</v>
      </c>
      <c r="F54" s="33"/>
      <c r="G54" s="33"/>
      <c r="H54" s="33"/>
      <c r="I54" s="33"/>
      <c r="J54" s="33"/>
      <c r="K54" s="33"/>
      <c r="L54" s="33"/>
      <c r="M54" s="33"/>
      <c r="N54" s="37"/>
    </row>
    <row r="55" spans="1:14" s="34" customFormat="1" x14ac:dyDescent="0.25">
      <c r="A55" s="40"/>
      <c r="B55" s="34" t="s">
        <v>1949</v>
      </c>
      <c r="C55" s="32" t="str">
        <f>"&lt;="</f>
        <v>&lt;=</v>
      </c>
      <c r="D55" s="46" t="str">
        <f t="shared" si="0"/>
        <v>N/A</v>
      </c>
      <c r="E55" s="33" t="s">
        <v>335</v>
      </c>
      <c r="F55" s="33"/>
      <c r="G55" s="33"/>
      <c r="H55" s="33"/>
      <c r="I55" s="33"/>
      <c r="J55" s="33"/>
      <c r="K55" s="33"/>
      <c r="L55" s="33"/>
      <c r="M55" s="33"/>
      <c r="N55" s="37"/>
    </row>
    <row r="56" spans="1:14" s="34" customFormat="1" x14ac:dyDescent="0.25">
      <c r="A56" s="40"/>
      <c r="C56" s="33"/>
      <c r="D56" s="46"/>
      <c r="E56" s="33"/>
      <c r="F56" s="33"/>
      <c r="G56" s="33"/>
      <c r="H56" s="33"/>
      <c r="I56" s="33"/>
      <c r="J56" s="33"/>
      <c r="K56" s="33"/>
      <c r="L56" s="33"/>
      <c r="M56" s="33"/>
      <c r="N56" s="37"/>
    </row>
    <row r="57" spans="1:14" s="34" customFormat="1" x14ac:dyDescent="0.25">
      <c r="A57" s="40"/>
      <c r="B57" s="34" t="s">
        <v>1950</v>
      </c>
      <c r="C57" s="32" t="str">
        <f>"&gt;="</f>
        <v>&gt;=</v>
      </c>
      <c r="D57" s="46" t="str">
        <f t="shared" si="0"/>
        <v>N/A</v>
      </c>
      <c r="E57" s="33" t="s">
        <v>335</v>
      </c>
      <c r="F57" s="33"/>
      <c r="G57" s="33"/>
      <c r="H57" s="33"/>
      <c r="I57" s="33"/>
      <c r="J57" s="33"/>
      <c r="K57" s="33"/>
      <c r="L57" s="33"/>
      <c r="M57" s="33"/>
      <c r="N57" s="37"/>
    </row>
    <row r="58" spans="1:14" s="34" customFormat="1" x14ac:dyDescent="0.25">
      <c r="A58" s="40"/>
      <c r="B58" s="34" t="s">
        <v>1951</v>
      </c>
      <c r="C58" s="32" t="str">
        <f>"&lt;="</f>
        <v>&lt;=</v>
      </c>
      <c r="D58" s="46" t="str">
        <f t="shared" si="0"/>
        <v>N/A</v>
      </c>
      <c r="E58" s="33" t="s">
        <v>335</v>
      </c>
      <c r="F58" s="33"/>
      <c r="G58" s="33"/>
      <c r="H58" s="33"/>
      <c r="I58" s="33"/>
      <c r="J58" s="33"/>
      <c r="K58" s="33"/>
      <c r="L58" s="33"/>
      <c r="M58" s="33"/>
      <c r="N58" s="37"/>
    </row>
    <row r="59" spans="1:14" s="34" customFormat="1" x14ac:dyDescent="0.25">
      <c r="A59" s="40"/>
      <c r="C59" s="33"/>
      <c r="D59" s="46"/>
      <c r="E59" s="33"/>
      <c r="F59" s="33"/>
      <c r="G59" s="33"/>
      <c r="H59" s="33"/>
      <c r="I59" s="33"/>
      <c r="J59" s="33"/>
      <c r="K59" s="33"/>
      <c r="L59" s="33"/>
      <c r="M59" s="33"/>
      <c r="N59" s="37"/>
    </row>
    <row r="60" spans="1:14" s="34" customFormat="1" x14ac:dyDescent="0.25">
      <c r="A60" s="40"/>
      <c r="B60" s="34" t="s">
        <v>1952</v>
      </c>
      <c r="C60" s="31" t="str">
        <f>"="</f>
        <v>=</v>
      </c>
      <c r="D60" s="46" t="str">
        <f t="shared" si="0"/>
        <v>N/A</v>
      </c>
      <c r="E60" s="33" t="s">
        <v>335</v>
      </c>
      <c r="F60" s="33"/>
      <c r="G60" s="33"/>
      <c r="H60" s="33"/>
      <c r="I60" s="33"/>
      <c r="J60" s="33"/>
      <c r="K60" s="33"/>
      <c r="L60" s="33"/>
      <c r="M60" s="33"/>
      <c r="N60" s="37"/>
    </row>
    <row r="61" spans="1:14" s="34" customFormat="1" x14ac:dyDescent="0.25">
      <c r="A61" s="40"/>
      <c r="C61" s="33"/>
      <c r="D61" s="46"/>
      <c r="E61" s="33"/>
      <c r="F61" s="33"/>
      <c r="G61" s="33"/>
      <c r="H61" s="33"/>
      <c r="I61" s="33"/>
      <c r="J61" s="33"/>
      <c r="K61" s="33"/>
      <c r="L61" s="33"/>
      <c r="M61" s="33"/>
      <c r="N61" s="37"/>
    </row>
    <row r="62" spans="1:14" s="34" customFormat="1" x14ac:dyDescent="0.25">
      <c r="A62" s="40"/>
      <c r="B62" s="34" t="s">
        <v>1953</v>
      </c>
      <c r="C62" s="32" t="str">
        <f>"&gt;="</f>
        <v>&gt;=</v>
      </c>
      <c r="D62" s="46" t="str">
        <f t="shared" si="0"/>
        <v>N/A</v>
      </c>
      <c r="E62" s="33" t="s">
        <v>335</v>
      </c>
      <c r="F62" s="33"/>
      <c r="G62" s="33"/>
      <c r="H62" s="33"/>
      <c r="I62" s="33"/>
      <c r="J62" s="33"/>
      <c r="K62" s="33"/>
      <c r="L62" s="33"/>
      <c r="M62" s="33"/>
      <c r="N62" s="37"/>
    </row>
    <row r="63" spans="1:14" s="34" customFormat="1" x14ac:dyDescent="0.25">
      <c r="A63" s="40"/>
      <c r="B63" s="34" t="s">
        <v>1954</v>
      </c>
      <c r="C63" s="32" t="str">
        <f>"&lt;="</f>
        <v>&lt;=</v>
      </c>
      <c r="D63" s="46" t="str">
        <f t="shared" si="0"/>
        <v>N/A</v>
      </c>
      <c r="E63" s="33" t="s">
        <v>335</v>
      </c>
      <c r="F63" s="33"/>
      <c r="G63" s="33"/>
      <c r="H63" s="33"/>
      <c r="I63" s="33"/>
      <c r="J63" s="33"/>
      <c r="K63" s="33"/>
      <c r="L63" s="33"/>
      <c r="M63" s="33"/>
      <c r="N63" s="37"/>
    </row>
    <row r="64" spans="1:14" s="34" customFormat="1" x14ac:dyDescent="0.25">
      <c r="A64" s="40"/>
      <c r="C64" s="33"/>
      <c r="D64" s="46"/>
      <c r="E64" s="33"/>
      <c r="F64" s="33"/>
      <c r="G64" s="33"/>
      <c r="H64" s="33"/>
      <c r="I64" s="33"/>
      <c r="J64" s="33"/>
      <c r="K64" s="33"/>
      <c r="L64" s="33"/>
      <c r="M64" s="33"/>
      <c r="N64" s="37"/>
    </row>
    <row r="65" spans="1:14" s="34" customFormat="1" x14ac:dyDescent="0.25">
      <c r="A65" s="40"/>
      <c r="B65" s="34" t="s">
        <v>1955</v>
      </c>
      <c r="C65" s="32" t="str">
        <f>"&gt;="</f>
        <v>&gt;=</v>
      </c>
      <c r="D65" s="46" t="str">
        <f t="shared" si="0"/>
        <v>N/A</v>
      </c>
      <c r="E65" s="33" t="s">
        <v>335</v>
      </c>
      <c r="F65" s="33"/>
      <c r="G65" s="33"/>
      <c r="H65" s="33"/>
      <c r="I65" s="33"/>
      <c r="J65" s="33"/>
      <c r="K65" s="33"/>
      <c r="L65" s="33"/>
      <c r="M65" s="33"/>
      <c r="N65" s="37"/>
    </row>
    <row r="66" spans="1:14" s="34" customFormat="1" x14ac:dyDescent="0.25">
      <c r="A66" s="40"/>
      <c r="B66" s="34" t="s">
        <v>1956</v>
      </c>
      <c r="C66" s="32" t="str">
        <f>"&lt;="</f>
        <v>&lt;=</v>
      </c>
      <c r="D66" s="46" t="str">
        <f t="shared" si="0"/>
        <v>N/A</v>
      </c>
      <c r="E66" s="33" t="s">
        <v>335</v>
      </c>
      <c r="F66" s="33"/>
      <c r="G66" s="33"/>
      <c r="H66" s="33"/>
      <c r="I66" s="33"/>
      <c r="J66" s="33"/>
      <c r="K66" s="33"/>
      <c r="L66" s="33"/>
      <c r="M66" s="33"/>
      <c r="N66" s="37"/>
    </row>
    <row r="67" spans="1:14" s="34" customFormat="1" x14ac:dyDescent="0.25">
      <c r="A67" s="40"/>
      <c r="C67" s="33"/>
      <c r="D67" s="46"/>
      <c r="E67" s="33"/>
      <c r="F67" s="33"/>
      <c r="G67" s="33"/>
      <c r="H67" s="33"/>
      <c r="I67" s="33"/>
      <c r="J67" s="33"/>
      <c r="K67" s="33"/>
      <c r="L67" s="33"/>
      <c r="M67" s="33"/>
      <c r="N67" s="37"/>
    </row>
    <row r="68" spans="1:14" s="34" customFormat="1" x14ac:dyDescent="0.25">
      <c r="A68" s="40"/>
      <c r="B68" s="34" t="s">
        <v>1957</v>
      </c>
      <c r="C68" s="31" t="str">
        <f>"="</f>
        <v>=</v>
      </c>
      <c r="D68" s="46" t="str">
        <f t="shared" si="0"/>
        <v>N/A</v>
      </c>
      <c r="E68" s="33" t="s">
        <v>335</v>
      </c>
      <c r="F68" s="33"/>
      <c r="G68" s="33"/>
      <c r="H68" s="33"/>
      <c r="I68" s="33"/>
      <c r="J68" s="33"/>
      <c r="K68" s="33"/>
      <c r="L68" s="33"/>
      <c r="M68" s="33"/>
      <c r="N68" s="37"/>
    </row>
    <row r="69" spans="1:14" s="34" customFormat="1" x14ac:dyDescent="0.25">
      <c r="A69" s="40"/>
      <c r="C69" s="33"/>
      <c r="D69" s="46"/>
      <c r="E69" s="33"/>
      <c r="F69" s="33"/>
      <c r="G69" s="33"/>
      <c r="H69" s="33"/>
      <c r="I69" s="33"/>
      <c r="J69" s="33"/>
      <c r="K69" s="33"/>
      <c r="L69" s="33"/>
      <c r="M69" s="33"/>
      <c r="N69" s="37"/>
    </row>
    <row r="70" spans="1:14" s="34" customFormat="1" x14ac:dyDescent="0.25">
      <c r="A70" s="40"/>
      <c r="B70" s="34" t="s">
        <v>1958</v>
      </c>
      <c r="C70" s="32" t="str">
        <f>"&gt;="</f>
        <v>&gt;=</v>
      </c>
      <c r="D70" s="46" t="str">
        <f t="shared" si="0"/>
        <v>N/A</v>
      </c>
      <c r="E70" s="33" t="s">
        <v>335</v>
      </c>
      <c r="F70" s="33"/>
      <c r="G70" s="33"/>
      <c r="H70" s="33"/>
      <c r="I70" s="33"/>
      <c r="J70" s="33"/>
      <c r="K70" s="33"/>
      <c r="L70" s="33"/>
      <c r="M70" s="33"/>
      <c r="N70" s="37"/>
    </row>
    <row r="71" spans="1:14" s="34" customFormat="1" x14ac:dyDescent="0.25">
      <c r="A71" s="40"/>
      <c r="B71" s="34" t="s">
        <v>1959</v>
      </c>
      <c r="C71" s="32" t="str">
        <f>"&lt;="</f>
        <v>&lt;=</v>
      </c>
      <c r="D71" s="46" t="str">
        <f t="shared" si="0"/>
        <v>N/A</v>
      </c>
      <c r="E71" s="33" t="s">
        <v>335</v>
      </c>
      <c r="F71" s="33"/>
      <c r="G71" s="33"/>
      <c r="H71" s="33"/>
      <c r="I71" s="33"/>
      <c r="J71" s="33"/>
      <c r="K71" s="33"/>
      <c r="L71" s="33"/>
      <c r="M71" s="33"/>
      <c r="N71" s="37"/>
    </row>
    <row r="72" spans="1:14" s="34" customFormat="1" x14ac:dyDescent="0.25">
      <c r="A72" s="40"/>
      <c r="C72" s="33"/>
      <c r="D72" s="46"/>
      <c r="E72" s="33"/>
      <c r="F72" s="33"/>
      <c r="G72" s="33"/>
      <c r="H72" s="33"/>
      <c r="I72" s="33"/>
      <c r="J72" s="33"/>
      <c r="K72" s="33"/>
      <c r="L72" s="33"/>
      <c r="M72" s="33"/>
      <c r="N72" s="37"/>
    </row>
    <row r="73" spans="1:14" s="34" customFormat="1" x14ac:dyDescent="0.25">
      <c r="A73" s="40"/>
      <c r="B73" s="34" t="s">
        <v>1960</v>
      </c>
      <c r="C73" s="31" t="str">
        <f>"="</f>
        <v>=</v>
      </c>
      <c r="D73" s="46">
        <f t="shared" si="0"/>
        <v>0</v>
      </c>
      <c r="E73" s="33">
        <v>0</v>
      </c>
      <c r="F73" s="33"/>
      <c r="G73" s="33"/>
      <c r="H73" s="33"/>
      <c r="I73" s="33"/>
      <c r="J73" s="33"/>
      <c r="K73" s="33"/>
      <c r="L73" s="33"/>
      <c r="M73" s="33"/>
      <c r="N73" s="37"/>
    </row>
    <row r="74" spans="1:14" s="34" customFormat="1" x14ac:dyDescent="0.25">
      <c r="A74" s="40"/>
      <c r="C74" s="33"/>
      <c r="D74" s="46"/>
      <c r="E74" s="33"/>
      <c r="F74" s="33"/>
      <c r="G74" s="33"/>
      <c r="H74" s="33"/>
      <c r="I74" s="33"/>
      <c r="J74" s="33"/>
      <c r="K74" s="33"/>
      <c r="L74" s="33"/>
      <c r="M74" s="33"/>
      <c r="N74" s="37"/>
    </row>
    <row r="75" spans="1:14" s="34" customFormat="1" x14ac:dyDescent="0.25">
      <c r="A75" s="40"/>
      <c r="B75" s="64" t="s">
        <v>1961</v>
      </c>
      <c r="C75" s="31" t="str">
        <f>"="</f>
        <v>=</v>
      </c>
      <c r="D75" s="46">
        <f t="shared" si="0"/>
        <v>1</v>
      </c>
      <c r="E75" s="33">
        <v>1</v>
      </c>
      <c r="F75" s="33"/>
      <c r="G75" s="33"/>
      <c r="H75" s="33"/>
      <c r="I75" s="33"/>
      <c r="J75" s="33"/>
      <c r="K75" s="33"/>
      <c r="L75" s="33"/>
      <c r="M75" s="33"/>
      <c r="N75" s="37"/>
    </row>
    <row r="76" spans="1:14" s="34" customFormat="1" x14ac:dyDescent="0.25">
      <c r="A76" s="40"/>
      <c r="C76" s="33"/>
      <c r="D76" s="46"/>
      <c r="E76" s="33"/>
      <c r="F76" s="33"/>
      <c r="G76" s="33"/>
      <c r="H76" s="33"/>
      <c r="I76" s="33"/>
      <c r="J76" s="33"/>
      <c r="K76" s="33"/>
      <c r="L76" s="33"/>
      <c r="M76" s="33"/>
      <c r="N76" s="37"/>
    </row>
    <row r="77" spans="1:14" s="34" customFormat="1" x14ac:dyDescent="0.25">
      <c r="A77" s="40"/>
      <c r="B77" s="34" t="s">
        <v>1962</v>
      </c>
      <c r="C77" s="31" t="str">
        <f>"="</f>
        <v>=</v>
      </c>
      <c r="D77" s="46" t="str">
        <f t="shared" ref="D77:D90" si="1">IF($D$9=$E$9,E77,"")</f>
        <v>N/A</v>
      </c>
      <c r="E77" s="33" t="s">
        <v>335</v>
      </c>
      <c r="F77" s="33"/>
      <c r="G77" s="33"/>
      <c r="H77" s="33"/>
      <c r="I77" s="33"/>
      <c r="J77" s="33"/>
      <c r="K77" s="33"/>
      <c r="L77" s="33"/>
      <c r="M77" s="33"/>
      <c r="N77" s="37"/>
    </row>
    <row r="78" spans="1:14" s="34" customFormat="1" x14ac:dyDescent="0.25">
      <c r="A78" s="40"/>
      <c r="C78" s="33"/>
      <c r="D78" s="46"/>
      <c r="E78" s="33"/>
      <c r="F78" s="33"/>
      <c r="G78" s="33"/>
      <c r="H78" s="33"/>
      <c r="I78" s="33"/>
      <c r="J78" s="33"/>
      <c r="K78" s="33"/>
      <c r="L78" s="33"/>
      <c r="M78" s="33"/>
      <c r="N78" s="37"/>
    </row>
    <row r="79" spans="1:14" s="34" customFormat="1" x14ac:dyDescent="0.25">
      <c r="A79" s="40"/>
      <c r="B79" s="64" t="s">
        <v>1963</v>
      </c>
      <c r="C79" s="31" t="str">
        <f>"&gt;="</f>
        <v>&gt;=</v>
      </c>
      <c r="D79" s="46" t="str">
        <f t="shared" si="1"/>
        <v>N/A</v>
      </c>
      <c r="E79" s="33" t="s">
        <v>335</v>
      </c>
      <c r="F79" s="33"/>
      <c r="G79" s="33"/>
      <c r="H79" s="33"/>
      <c r="I79" s="33"/>
      <c r="J79" s="33"/>
      <c r="K79" s="33"/>
      <c r="L79" s="33"/>
      <c r="M79" s="33"/>
      <c r="N79" s="37"/>
    </row>
    <row r="80" spans="1:14" s="34" customFormat="1" x14ac:dyDescent="0.25">
      <c r="A80" s="40"/>
      <c r="B80" s="64" t="s">
        <v>1964</v>
      </c>
      <c r="C80" s="31" t="str">
        <f>"&gt;="</f>
        <v>&gt;=</v>
      </c>
      <c r="D80" s="46" t="str">
        <f t="shared" si="1"/>
        <v>N/A</v>
      </c>
      <c r="E80" s="33" t="s">
        <v>335</v>
      </c>
      <c r="F80" s="33"/>
      <c r="G80" s="33"/>
      <c r="H80" s="33"/>
      <c r="I80" s="33"/>
      <c r="J80" s="33"/>
      <c r="K80" s="33"/>
      <c r="L80" s="33"/>
      <c r="M80" s="33"/>
      <c r="N80" s="37"/>
    </row>
    <row r="81" spans="1:14" s="34" customFormat="1" x14ac:dyDescent="0.25">
      <c r="A81" s="40"/>
      <c r="C81" s="33"/>
      <c r="D81" s="46"/>
      <c r="E81" s="33"/>
      <c r="F81" s="33"/>
      <c r="G81" s="33"/>
      <c r="H81" s="33"/>
      <c r="I81" s="33"/>
      <c r="J81" s="33"/>
      <c r="K81" s="33"/>
      <c r="L81" s="33"/>
      <c r="M81" s="33"/>
      <c r="N81" s="37"/>
    </row>
    <row r="82" spans="1:14" s="34" customFormat="1" x14ac:dyDescent="0.25">
      <c r="A82" s="40"/>
      <c r="B82" s="34" t="s">
        <v>1965</v>
      </c>
      <c r="C82" s="33" t="str">
        <f>"&lt;"</f>
        <v>&lt;</v>
      </c>
      <c r="D82" s="46" t="str">
        <f t="shared" si="1"/>
        <v>N/A</v>
      </c>
      <c r="E82" s="33" t="s">
        <v>335</v>
      </c>
      <c r="F82" s="33"/>
      <c r="G82" s="33"/>
      <c r="H82" s="33"/>
      <c r="I82" s="33"/>
      <c r="J82" s="33"/>
      <c r="K82" s="33"/>
      <c r="L82" s="33"/>
      <c r="M82" s="33"/>
      <c r="N82" s="37"/>
    </row>
    <row r="83" spans="1:14" s="34" customFormat="1" x14ac:dyDescent="0.25">
      <c r="A83" s="40"/>
      <c r="C83" s="33"/>
      <c r="D83" s="46"/>
      <c r="E83" s="33"/>
      <c r="F83" s="33"/>
      <c r="G83" s="33"/>
      <c r="H83" s="33"/>
      <c r="I83" s="33"/>
      <c r="J83" s="33"/>
      <c r="K83" s="33"/>
      <c r="L83" s="33"/>
      <c r="M83" s="33"/>
      <c r="N83" s="37"/>
    </row>
    <row r="84" spans="1:14" x14ac:dyDescent="0.25">
      <c r="B84" s="34" t="s">
        <v>1966</v>
      </c>
      <c r="C84" s="31" t="str">
        <f>"&gt;="</f>
        <v>&gt;=</v>
      </c>
      <c r="D84" s="46" t="str">
        <f t="shared" si="1"/>
        <v>N/A</v>
      </c>
      <c r="E84" s="33" t="s">
        <v>335</v>
      </c>
    </row>
    <row r="85" spans="1:14" x14ac:dyDescent="0.25">
      <c r="D85" s="46"/>
    </row>
    <row r="86" spans="1:14" x14ac:dyDescent="0.25">
      <c r="B86" s="34" t="s">
        <v>1967</v>
      </c>
      <c r="C86" s="31" t="str">
        <f>"&gt;="</f>
        <v>&gt;=</v>
      </c>
      <c r="D86" s="46" t="str">
        <f t="shared" si="1"/>
        <v>N/A</v>
      </c>
      <c r="E86" s="33" t="s">
        <v>335</v>
      </c>
    </row>
    <row r="87" spans="1:14" x14ac:dyDescent="0.25">
      <c r="D87" s="46"/>
    </row>
    <row r="88" spans="1:14" x14ac:dyDescent="0.25">
      <c r="B88" s="34" t="s">
        <v>1968</v>
      </c>
      <c r="C88" s="33" t="str">
        <f>"&lt;"</f>
        <v>&lt;</v>
      </c>
      <c r="D88" s="46" t="str">
        <f t="shared" si="1"/>
        <v>N/A</v>
      </c>
      <c r="E88" s="33" t="s">
        <v>335</v>
      </c>
    </row>
    <row r="89" spans="1:14" x14ac:dyDescent="0.25">
      <c r="D89" s="46"/>
    </row>
    <row r="90" spans="1:14" ht="13.5" thickBot="1" x14ac:dyDescent="0.3">
      <c r="B90" s="34" t="s">
        <v>1969</v>
      </c>
      <c r="C90" s="31" t="str">
        <f>"&gt;="</f>
        <v>&gt;=</v>
      </c>
      <c r="D90" s="48" t="str">
        <f t="shared" si="1"/>
        <v>N/A</v>
      </c>
      <c r="E90" s="33" t="s">
        <v>335</v>
      </c>
    </row>
    <row r="92" spans="1:14" s="34" customFormat="1" x14ac:dyDescent="0.25">
      <c r="A92" s="40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37"/>
    </row>
    <row r="97" spans="2:2" x14ac:dyDescent="0.25">
      <c r="B97" s="44"/>
    </row>
    <row r="98" spans="2:2" x14ac:dyDescent="0.25">
      <c r="B98" s="44"/>
    </row>
    <row r="99" spans="2:2" x14ac:dyDescent="0.25">
      <c r="B99" s="44"/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6">
    <tabColor theme="7" tint="0.59999389629810485"/>
  </sheetPr>
  <dimension ref="A1:P89"/>
  <sheetViews>
    <sheetView workbookViewId="0"/>
  </sheetViews>
  <sheetFormatPr defaultColWidth="8.90625" defaultRowHeight="12.5" x14ac:dyDescent="0.25"/>
  <cols>
    <col min="1" max="1" width="10.81640625" style="5" customWidth="1"/>
    <col min="2" max="13" width="11.81640625" style="5" customWidth="1"/>
    <col min="14" max="14" width="10.81640625" style="5" customWidth="1"/>
    <col min="15" max="16" width="11.81640625" style="5" customWidth="1"/>
    <col min="17" max="16384" width="8.90625" style="5"/>
  </cols>
  <sheetData>
    <row r="1" spans="1:16" x14ac:dyDescent="0.25">
      <c r="A1" s="20" t="s">
        <v>286</v>
      </c>
      <c r="B1" s="24" t="s">
        <v>275</v>
      </c>
      <c r="C1" s="24" t="s">
        <v>285</v>
      </c>
      <c r="D1" s="24" t="s">
        <v>276</v>
      </c>
      <c r="E1" s="25" t="s">
        <v>277</v>
      </c>
      <c r="F1" s="25" t="s">
        <v>282</v>
      </c>
      <c r="G1" s="25" t="s">
        <v>284</v>
      </c>
      <c r="H1" s="24" t="s">
        <v>279</v>
      </c>
      <c r="I1" s="25" t="s">
        <v>281</v>
      </c>
      <c r="J1" s="25" t="s">
        <v>274</v>
      </c>
      <c r="K1" s="24" t="s">
        <v>278</v>
      </c>
      <c r="L1" s="24" t="s">
        <v>280</v>
      </c>
      <c r="M1" s="24" t="s">
        <v>283</v>
      </c>
      <c r="O1" s="20" t="s">
        <v>272</v>
      </c>
      <c r="P1" s="20" t="s">
        <v>273</v>
      </c>
    </row>
    <row r="2" spans="1:16" x14ac:dyDescent="0.25">
      <c r="A2" s="26" t="s">
        <v>287</v>
      </c>
      <c r="B2" s="6" t="s">
        <v>186</v>
      </c>
      <c r="C2" s="6" t="s">
        <v>210</v>
      </c>
      <c r="D2" s="6" t="s">
        <v>187</v>
      </c>
      <c r="E2" s="8" t="s">
        <v>188</v>
      </c>
      <c r="F2" s="8" t="s">
        <v>200</v>
      </c>
      <c r="G2" s="8" t="s">
        <v>205</v>
      </c>
      <c r="H2" s="6" t="s">
        <v>190</v>
      </c>
      <c r="I2" s="8" t="s">
        <v>193</v>
      </c>
      <c r="J2" s="8" t="s">
        <v>185</v>
      </c>
      <c r="K2" s="6" t="s">
        <v>189</v>
      </c>
      <c r="L2" s="6" t="s">
        <v>191</v>
      </c>
      <c r="M2" s="6" t="s">
        <v>202</v>
      </c>
      <c r="O2" s="10" t="s">
        <v>185</v>
      </c>
      <c r="P2" s="4" t="s">
        <v>274</v>
      </c>
    </row>
    <row r="3" spans="1:16" x14ac:dyDescent="0.25">
      <c r="B3" s="6" t="s">
        <v>204</v>
      </c>
      <c r="C3" s="6" t="s">
        <v>219</v>
      </c>
      <c r="D3" s="6" t="s">
        <v>201</v>
      </c>
      <c r="E3" s="8" t="s">
        <v>234</v>
      </c>
      <c r="F3" s="8" t="s">
        <v>207</v>
      </c>
      <c r="G3" s="8" t="s">
        <v>208</v>
      </c>
      <c r="H3" s="6" t="s">
        <v>195</v>
      </c>
      <c r="I3" s="8" t="s">
        <v>197</v>
      </c>
      <c r="J3" s="8" t="s">
        <v>192</v>
      </c>
      <c r="K3" s="6" t="s">
        <v>211</v>
      </c>
      <c r="L3" s="6" t="s">
        <v>194</v>
      </c>
      <c r="M3" s="6" t="s">
        <v>212</v>
      </c>
      <c r="O3" s="10" t="s">
        <v>186</v>
      </c>
      <c r="P3" s="4" t="s">
        <v>275</v>
      </c>
    </row>
    <row r="4" spans="1:16" x14ac:dyDescent="0.25">
      <c r="B4" s="6" t="s">
        <v>216</v>
      </c>
      <c r="C4" s="6" t="s">
        <v>232</v>
      </c>
      <c r="D4" s="6" t="s">
        <v>206</v>
      </c>
      <c r="E4" s="8" t="s">
        <v>106</v>
      </c>
      <c r="F4" s="8" t="s">
        <v>214</v>
      </c>
      <c r="G4" s="8" t="s">
        <v>209</v>
      </c>
      <c r="H4" s="6" t="s">
        <v>196</v>
      </c>
      <c r="I4" s="8" t="s">
        <v>198</v>
      </c>
      <c r="J4" s="8" t="s">
        <v>220</v>
      </c>
      <c r="K4" s="6" t="s">
        <v>221</v>
      </c>
      <c r="L4" s="6" t="s">
        <v>199</v>
      </c>
      <c r="M4" s="7" t="s">
        <v>227</v>
      </c>
      <c r="O4" s="10" t="s">
        <v>187</v>
      </c>
      <c r="P4" s="4" t="s">
        <v>276</v>
      </c>
    </row>
    <row r="5" spans="1:16" x14ac:dyDescent="0.25">
      <c r="B5" s="6" t="s">
        <v>217</v>
      </c>
      <c r="C5" s="6" t="s">
        <v>246</v>
      </c>
      <c r="D5" s="6" t="s">
        <v>223</v>
      </c>
      <c r="E5" s="8" t="s">
        <v>259</v>
      </c>
      <c r="F5" s="8" t="s">
        <v>226</v>
      </c>
      <c r="G5" s="8" t="s">
        <v>233</v>
      </c>
      <c r="H5" s="6" t="s">
        <v>203</v>
      </c>
      <c r="I5" s="8" t="s">
        <v>213</v>
      </c>
      <c r="J5" s="8" t="s">
        <v>224</v>
      </c>
      <c r="K5" s="6" t="s">
        <v>237</v>
      </c>
      <c r="L5" s="6" t="s">
        <v>218</v>
      </c>
      <c r="O5" s="10" t="s">
        <v>188</v>
      </c>
      <c r="P5" s="4" t="s">
        <v>277</v>
      </c>
    </row>
    <row r="6" spans="1:16" x14ac:dyDescent="0.25">
      <c r="B6" s="6" t="s">
        <v>247</v>
      </c>
      <c r="C6" s="6" t="s">
        <v>255</v>
      </c>
      <c r="D6" s="6" t="s">
        <v>231</v>
      </c>
      <c r="E6" s="8" t="s">
        <v>260</v>
      </c>
      <c r="F6" s="8" t="s">
        <v>229</v>
      </c>
      <c r="G6" s="8" t="s">
        <v>235</v>
      </c>
      <c r="H6" s="6" t="s">
        <v>230</v>
      </c>
      <c r="I6" s="8" t="s">
        <v>215</v>
      </c>
      <c r="J6" s="8" t="s">
        <v>228</v>
      </c>
      <c r="K6" s="6" t="s">
        <v>240</v>
      </c>
      <c r="L6" s="6" t="s">
        <v>222</v>
      </c>
      <c r="O6" s="10" t="s">
        <v>189</v>
      </c>
      <c r="P6" s="4" t="s">
        <v>278</v>
      </c>
    </row>
    <row r="7" spans="1:16" x14ac:dyDescent="0.25">
      <c r="B7" s="6" t="s">
        <v>252</v>
      </c>
      <c r="C7" s="6" t="s">
        <v>257</v>
      </c>
      <c r="D7" s="6" t="s">
        <v>236</v>
      </c>
      <c r="E7" s="9" t="s">
        <v>261</v>
      </c>
      <c r="F7" s="8" t="s">
        <v>244</v>
      </c>
      <c r="G7" s="8" t="s">
        <v>243</v>
      </c>
      <c r="H7" s="6" t="s">
        <v>238</v>
      </c>
      <c r="I7" s="8" t="s">
        <v>251</v>
      </c>
      <c r="J7" s="8" t="s">
        <v>250</v>
      </c>
      <c r="K7" s="6" t="s">
        <v>242</v>
      </c>
      <c r="L7" s="6" t="s">
        <v>225</v>
      </c>
      <c r="O7" s="10" t="s">
        <v>190</v>
      </c>
      <c r="P7" s="4" t="s">
        <v>279</v>
      </c>
    </row>
    <row r="8" spans="1:16" x14ac:dyDescent="0.25">
      <c r="B8" s="6" t="s">
        <v>264</v>
      </c>
      <c r="C8" s="6" t="s">
        <v>269</v>
      </c>
      <c r="D8" s="6" t="s">
        <v>253</v>
      </c>
      <c r="F8" s="9" t="s">
        <v>248</v>
      </c>
      <c r="G8" s="8" t="s">
        <v>249</v>
      </c>
      <c r="H8" s="6" t="s">
        <v>239</v>
      </c>
      <c r="I8" s="9" t="s">
        <v>266</v>
      </c>
      <c r="J8" s="8" t="s">
        <v>254</v>
      </c>
      <c r="K8" s="6" t="s">
        <v>245</v>
      </c>
      <c r="L8" s="7" t="s">
        <v>262</v>
      </c>
      <c r="O8" s="10" t="s">
        <v>191</v>
      </c>
      <c r="P8" s="4" t="s">
        <v>280</v>
      </c>
    </row>
    <row r="9" spans="1:16" x14ac:dyDescent="0.25">
      <c r="B9" s="7" t="s">
        <v>271</v>
      </c>
      <c r="C9" s="7" t="s">
        <v>270</v>
      </c>
      <c r="D9" s="7" t="s">
        <v>268</v>
      </c>
      <c r="G9" s="9" t="s">
        <v>263</v>
      </c>
      <c r="H9" s="6" t="s">
        <v>241</v>
      </c>
      <c r="J9" s="9" t="s">
        <v>256</v>
      </c>
      <c r="K9" s="6" t="s">
        <v>265</v>
      </c>
      <c r="O9" s="10" t="s">
        <v>192</v>
      </c>
      <c r="P9" s="4" t="s">
        <v>274</v>
      </c>
    </row>
    <row r="10" spans="1:16" x14ac:dyDescent="0.25">
      <c r="B10" s="2"/>
      <c r="C10" s="3"/>
      <c r="H10" s="7" t="s">
        <v>258</v>
      </c>
      <c r="K10" s="7" t="s">
        <v>267</v>
      </c>
      <c r="O10" s="10" t="s">
        <v>193</v>
      </c>
      <c r="P10" s="4" t="s">
        <v>281</v>
      </c>
    </row>
    <row r="11" spans="1:16" x14ac:dyDescent="0.25">
      <c r="B11" s="2"/>
      <c r="C11" s="3"/>
      <c r="O11" s="10" t="s">
        <v>194</v>
      </c>
      <c r="P11" s="4" t="s">
        <v>280</v>
      </c>
    </row>
    <row r="12" spans="1:16" x14ac:dyDescent="0.25">
      <c r="B12" s="2"/>
      <c r="C12" s="3"/>
      <c r="O12" s="10" t="s">
        <v>195</v>
      </c>
      <c r="P12" s="4" t="s">
        <v>279</v>
      </c>
    </row>
    <row r="13" spans="1:16" x14ac:dyDescent="0.25">
      <c r="B13" s="2"/>
      <c r="C13" s="3"/>
      <c r="O13" s="10" t="s">
        <v>196</v>
      </c>
      <c r="P13" s="4" t="s">
        <v>279</v>
      </c>
    </row>
    <row r="14" spans="1:16" x14ac:dyDescent="0.25">
      <c r="B14" s="2"/>
      <c r="C14" s="3"/>
      <c r="O14" s="10" t="s">
        <v>197</v>
      </c>
      <c r="P14" s="4" t="s">
        <v>281</v>
      </c>
    </row>
    <row r="15" spans="1:16" x14ac:dyDescent="0.25">
      <c r="B15" s="2"/>
      <c r="C15" s="3"/>
      <c r="O15" s="10" t="s">
        <v>198</v>
      </c>
      <c r="P15" s="4" t="s">
        <v>281</v>
      </c>
    </row>
    <row r="16" spans="1:16" x14ac:dyDescent="0.25">
      <c r="B16" s="2"/>
      <c r="C16" s="3"/>
      <c r="O16" s="10" t="s">
        <v>199</v>
      </c>
      <c r="P16" s="4" t="s">
        <v>280</v>
      </c>
    </row>
    <row r="17" spans="2:16" x14ac:dyDescent="0.25">
      <c r="B17" s="2"/>
      <c r="C17" s="3"/>
      <c r="O17" s="10" t="s">
        <v>200</v>
      </c>
      <c r="P17" s="4" t="s">
        <v>282</v>
      </c>
    </row>
    <row r="18" spans="2:16" x14ac:dyDescent="0.25">
      <c r="B18" s="2"/>
      <c r="C18" s="3"/>
      <c r="O18" s="10" t="s">
        <v>201</v>
      </c>
      <c r="P18" s="4" t="s">
        <v>276</v>
      </c>
    </row>
    <row r="19" spans="2:16" x14ac:dyDescent="0.25">
      <c r="B19" s="2"/>
      <c r="C19" s="3"/>
      <c r="O19" s="10" t="s">
        <v>202</v>
      </c>
      <c r="P19" s="4" t="s">
        <v>283</v>
      </c>
    </row>
    <row r="20" spans="2:16" x14ac:dyDescent="0.25">
      <c r="B20" s="2"/>
      <c r="C20" s="3"/>
      <c r="O20" s="10" t="s">
        <v>203</v>
      </c>
      <c r="P20" s="4" t="s">
        <v>279</v>
      </c>
    </row>
    <row r="21" spans="2:16" x14ac:dyDescent="0.25">
      <c r="B21" s="2"/>
      <c r="C21" s="3"/>
      <c r="O21" s="10" t="s">
        <v>204</v>
      </c>
      <c r="P21" s="4" t="s">
        <v>275</v>
      </c>
    </row>
    <row r="22" spans="2:16" x14ac:dyDescent="0.25">
      <c r="B22" s="2"/>
      <c r="C22" s="3"/>
      <c r="O22" s="10" t="s">
        <v>205</v>
      </c>
      <c r="P22" s="4" t="s">
        <v>284</v>
      </c>
    </row>
    <row r="23" spans="2:16" x14ac:dyDescent="0.25">
      <c r="B23" s="2"/>
      <c r="C23" s="3"/>
      <c r="O23" s="10" t="s">
        <v>206</v>
      </c>
      <c r="P23" s="4" t="s">
        <v>276</v>
      </c>
    </row>
    <row r="24" spans="2:16" x14ac:dyDescent="0.25">
      <c r="B24" s="2"/>
      <c r="C24" s="3"/>
      <c r="O24" s="10" t="s">
        <v>207</v>
      </c>
      <c r="P24" s="4" t="s">
        <v>282</v>
      </c>
    </row>
    <row r="25" spans="2:16" x14ac:dyDescent="0.25">
      <c r="B25" s="2"/>
      <c r="C25" s="3"/>
      <c r="O25" s="10" t="s">
        <v>208</v>
      </c>
      <c r="P25" s="4" t="s">
        <v>284</v>
      </c>
    </row>
    <row r="26" spans="2:16" x14ac:dyDescent="0.25">
      <c r="B26" s="2"/>
      <c r="C26" s="3"/>
      <c r="O26" s="10" t="s">
        <v>209</v>
      </c>
      <c r="P26" s="4" t="s">
        <v>284</v>
      </c>
    </row>
    <row r="27" spans="2:16" x14ac:dyDescent="0.25">
      <c r="B27" s="2"/>
      <c r="C27" s="3"/>
      <c r="O27" s="10" t="s">
        <v>210</v>
      </c>
      <c r="P27" s="4" t="s">
        <v>285</v>
      </c>
    </row>
    <row r="28" spans="2:16" x14ac:dyDescent="0.25">
      <c r="B28" s="2"/>
      <c r="C28" s="3"/>
      <c r="O28" s="10" t="s">
        <v>211</v>
      </c>
      <c r="P28" s="4" t="s">
        <v>278</v>
      </c>
    </row>
    <row r="29" spans="2:16" x14ac:dyDescent="0.25">
      <c r="B29" s="2"/>
      <c r="C29" s="3"/>
      <c r="O29" s="10" t="s">
        <v>212</v>
      </c>
      <c r="P29" s="4" t="s">
        <v>283</v>
      </c>
    </row>
    <row r="30" spans="2:16" x14ac:dyDescent="0.25">
      <c r="B30" s="2"/>
      <c r="C30" s="3"/>
      <c r="O30" s="10" t="s">
        <v>213</v>
      </c>
      <c r="P30" s="4" t="s">
        <v>281</v>
      </c>
    </row>
    <row r="31" spans="2:16" x14ac:dyDescent="0.25">
      <c r="B31" s="2"/>
      <c r="C31" s="3"/>
      <c r="O31" s="10" t="s">
        <v>214</v>
      </c>
      <c r="P31" s="4" t="s">
        <v>282</v>
      </c>
    </row>
    <row r="32" spans="2:16" x14ac:dyDescent="0.25">
      <c r="B32" s="2"/>
      <c r="C32" s="3"/>
      <c r="O32" s="10" t="s">
        <v>215</v>
      </c>
      <c r="P32" s="4" t="s">
        <v>281</v>
      </c>
    </row>
    <row r="33" spans="2:16" x14ac:dyDescent="0.25">
      <c r="B33" s="2"/>
      <c r="C33" s="3"/>
      <c r="O33" s="10" t="s">
        <v>216</v>
      </c>
      <c r="P33" s="4" t="s">
        <v>275</v>
      </c>
    </row>
    <row r="34" spans="2:16" x14ac:dyDescent="0.25">
      <c r="B34" s="2"/>
      <c r="C34" s="3"/>
      <c r="O34" s="10" t="s">
        <v>217</v>
      </c>
      <c r="P34" s="4" t="s">
        <v>275</v>
      </c>
    </row>
    <row r="35" spans="2:16" x14ac:dyDescent="0.25">
      <c r="B35" s="2"/>
      <c r="C35" s="3"/>
      <c r="O35" s="10" t="s">
        <v>218</v>
      </c>
      <c r="P35" s="4" t="s">
        <v>280</v>
      </c>
    </row>
    <row r="36" spans="2:16" x14ac:dyDescent="0.25">
      <c r="B36" s="2"/>
      <c r="C36" s="3"/>
      <c r="O36" s="10" t="s">
        <v>219</v>
      </c>
      <c r="P36" s="4" t="s">
        <v>285</v>
      </c>
    </row>
    <row r="37" spans="2:16" x14ac:dyDescent="0.25">
      <c r="B37" s="2"/>
      <c r="C37" s="3"/>
      <c r="O37" s="10" t="s">
        <v>220</v>
      </c>
      <c r="P37" s="4" t="s">
        <v>274</v>
      </c>
    </row>
    <row r="38" spans="2:16" x14ac:dyDescent="0.25">
      <c r="B38" s="2"/>
      <c r="C38" s="3"/>
      <c r="O38" s="10" t="s">
        <v>221</v>
      </c>
      <c r="P38" s="4" t="s">
        <v>278</v>
      </c>
    </row>
    <row r="39" spans="2:16" x14ac:dyDescent="0.25">
      <c r="B39" s="2"/>
      <c r="C39" s="3"/>
      <c r="O39" s="10" t="s">
        <v>222</v>
      </c>
      <c r="P39" s="4" t="s">
        <v>280</v>
      </c>
    </row>
    <row r="40" spans="2:16" x14ac:dyDescent="0.25">
      <c r="B40" s="2"/>
      <c r="C40" s="3"/>
      <c r="O40" s="10" t="s">
        <v>223</v>
      </c>
      <c r="P40" s="4" t="s">
        <v>276</v>
      </c>
    </row>
    <row r="41" spans="2:16" x14ac:dyDescent="0.25">
      <c r="B41" s="2"/>
      <c r="C41" s="3"/>
      <c r="O41" s="10" t="s">
        <v>224</v>
      </c>
      <c r="P41" s="4" t="s">
        <v>274</v>
      </c>
    </row>
    <row r="42" spans="2:16" x14ac:dyDescent="0.25">
      <c r="B42" s="2"/>
      <c r="C42" s="3"/>
      <c r="O42" s="10" t="s">
        <v>225</v>
      </c>
      <c r="P42" s="4" t="s">
        <v>280</v>
      </c>
    </row>
    <row r="43" spans="2:16" x14ac:dyDescent="0.25">
      <c r="B43" s="2"/>
      <c r="C43" s="3"/>
      <c r="O43" s="10" t="s">
        <v>226</v>
      </c>
      <c r="P43" s="4" t="s">
        <v>282</v>
      </c>
    </row>
    <row r="44" spans="2:16" x14ac:dyDescent="0.25">
      <c r="B44" s="2"/>
      <c r="C44" s="3"/>
      <c r="O44" s="10" t="s">
        <v>227</v>
      </c>
      <c r="P44" s="4" t="s">
        <v>283</v>
      </c>
    </row>
    <row r="45" spans="2:16" x14ac:dyDescent="0.25">
      <c r="B45" s="2"/>
      <c r="C45" s="3"/>
      <c r="O45" s="10" t="s">
        <v>228</v>
      </c>
      <c r="P45" s="4" t="s">
        <v>274</v>
      </c>
    </row>
    <row r="46" spans="2:16" x14ac:dyDescent="0.25">
      <c r="B46" s="2"/>
      <c r="C46" s="3"/>
      <c r="O46" s="10" t="s">
        <v>229</v>
      </c>
      <c r="P46" s="4" t="s">
        <v>282</v>
      </c>
    </row>
    <row r="47" spans="2:16" x14ac:dyDescent="0.25">
      <c r="B47" s="2"/>
      <c r="C47" s="3"/>
      <c r="O47" s="10" t="s">
        <v>230</v>
      </c>
      <c r="P47" s="4" t="s">
        <v>279</v>
      </c>
    </row>
    <row r="48" spans="2:16" x14ac:dyDescent="0.25">
      <c r="B48" s="2"/>
      <c r="C48" s="3"/>
      <c r="O48" s="10" t="s">
        <v>231</v>
      </c>
      <c r="P48" s="4" t="s">
        <v>276</v>
      </c>
    </row>
    <row r="49" spans="2:16" x14ac:dyDescent="0.25">
      <c r="B49" s="2"/>
      <c r="C49" s="3"/>
      <c r="O49" s="10" t="s">
        <v>232</v>
      </c>
      <c r="P49" s="4" t="s">
        <v>285</v>
      </c>
    </row>
    <row r="50" spans="2:16" x14ac:dyDescent="0.25">
      <c r="B50" s="2"/>
      <c r="C50" s="3"/>
      <c r="O50" s="10" t="s">
        <v>233</v>
      </c>
      <c r="P50" s="4" t="s">
        <v>284</v>
      </c>
    </row>
    <row r="51" spans="2:16" x14ac:dyDescent="0.25">
      <c r="B51" s="2"/>
      <c r="C51" s="3"/>
      <c r="O51" s="10" t="s">
        <v>234</v>
      </c>
      <c r="P51" s="4" t="s">
        <v>277</v>
      </c>
    </row>
    <row r="52" spans="2:16" x14ac:dyDescent="0.25">
      <c r="B52" s="2"/>
      <c r="C52" s="3"/>
      <c r="O52" s="10" t="s">
        <v>235</v>
      </c>
      <c r="P52" s="4" t="s">
        <v>284</v>
      </c>
    </row>
    <row r="53" spans="2:16" x14ac:dyDescent="0.25">
      <c r="B53" s="2"/>
      <c r="C53" s="3"/>
      <c r="O53" s="10" t="s">
        <v>236</v>
      </c>
      <c r="P53" s="4" t="s">
        <v>276</v>
      </c>
    </row>
    <row r="54" spans="2:16" x14ac:dyDescent="0.25">
      <c r="B54" s="2"/>
      <c r="C54" s="3"/>
      <c r="O54" s="10" t="s">
        <v>237</v>
      </c>
      <c r="P54" s="4" t="s">
        <v>278</v>
      </c>
    </row>
    <row r="55" spans="2:16" x14ac:dyDescent="0.25">
      <c r="B55" s="2"/>
      <c r="C55" s="3"/>
      <c r="O55" s="10" t="s">
        <v>238</v>
      </c>
      <c r="P55" s="4" t="s">
        <v>279</v>
      </c>
    </row>
    <row r="56" spans="2:16" x14ac:dyDescent="0.25">
      <c r="B56" s="2"/>
      <c r="C56" s="3"/>
      <c r="O56" s="10" t="s">
        <v>239</v>
      </c>
      <c r="P56" s="4" t="s">
        <v>279</v>
      </c>
    </row>
    <row r="57" spans="2:16" x14ac:dyDescent="0.25">
      <c r="B57" s="2"/>
      <c r="C57" s="3"/>
      <c r="O57" s="10" t="s">
        <v>240</v>
      </c>
      <c r="P57" s="4" t="s">
        <v>278</v>
      </c>
    </row>
    <row r="58" spans="2:16" x14ac:dyDescent="0.25">
      <c r="B58" s="2"/>
      <c r="C58" s="3"/>
      <c r="O58" s="10" t="s">
        <v>241</v>
      </c>
      <c r="P58" s="4" t="s">
        <v>279</v>
      </c>
    </row>
    <row r="59" spans="2:16" x14ac:dyDescent="0.25">
      <c r="B59" s="2"/>
      <c r="C59" s="3"/>
      <c r="O59" s="10" t="s">
        <v>242</v>
      </c>
      <c r="P59" s="4" t="s">
        <v>278</v>
      </c>
    </row>
    <row r="60" spans="2:16" x14ac:dyDescent="0.25">
      <c r="B60" s="2"/>
      <c r="C60" s="3"/>
      <c r="O60" s="10" t="s">
        <v>243</v>
      </c>
      <c r="P60" s="4" t="s">
        <v>284</v>
      </c>
    </row>
    <row r="61" spans="2:16" x14ac:dyDescent="0.25">
      <c r="B61" s="2"/>
      <c r="C61" s="3"/>
      <c r="O61" s="10" t="s">
        <v>244</v>
      </c>
      <c r="P61" s="4" t="s">
        <v>282</v>
      </c>
    </row>
    <row r="62" spans="2:16" x14ac:dyDescent="0.25">
      <c r="B62" s="2"/>
      <c r="C62" s="3"/>
      <c r="O62" s="10" t="s">
        <v>245</v>
      </c>
      <c r="P62" s="4" t="s">
        <v>278</v>
      </c>
    </row>
    <row r="63" spans="2:16" x14ac:dyDescent="0.25">
      <c r="B63" s="2"/>
      <c r="C63" s="3"/>
      <c r="O63" s="10" t="s">
        <v>246</v>
      </c>
      <c r="P63" s="4" t="s">
        <v>285</v>
      </c>
    </row>
    <row r="64" spans="2:16" x14ac:dyDescent="0.25">
      <c r="B64" s="2"/>
      <c r="C64" s="3"/>
      <c r="O64" s="10" t="s">
        <v>247</v>
      </c>
      <c r="P64" s="4" t="s">
        <v>275</v>
      </c>
    </row>
    <row r="65" spans="2:16" x14ac:dyDescent="0.25">
      <c r="B65" s="2"/>
      <c r="C65" s="3"/>
      <c r="O65" s="10" t="s">
        <v>248</v>
      </c>
      <c r="P65" s="4" t="s">
        <v>282</v>
      </c>
    </row>
    <row r="66" spans="2:16" x14ac:dyDescent="0.25">
      <c r="B66" s="2"/>
      <c r="C66" s="3"/>
      <c r="O66" s="10" t="s">
        <v>249</v>
      </c>
      <c r="P66" s="4" t="s">
        <v>284</v>
      </c>
    </row>
    <row r="67" spans="2:16" x14ac:dyDescent="0.25">
      <c r="B67" s="2"/>
      <c r="C67" s="3"/>
      <c r="O67" s="10" t="s">
        <v>250</v>
      </c>
      <c r="P67" s="4" t="s">
        <v>274</v>
      </c>
    </row>
    <row r="68" spans="2:16" x14ac:dyDescent="0.25">
      <c r="B68" s="2"/>
      <c r="C68" s="3"/>
      <c r="O68" s="10" t="s">
        <v>106</v>
      </c>
      <c r="P68" s="4" t="s">
        <v>277</v>
      </c>
    </row>
    <row r="69" spans="2:16" x14ac:dyDescent="0.25">
      <c r="B69" s="2"/>
      <c r="C69" s="3"/>
      <c r="O69" s="10" t="s">
        <v>251</v>
      </c>
      <c r="P69" s="4" t="s">
        <v>281</v>
      </c>
    </row>
    <row r="70" spans="2:16" x14ac:dyDescent="0.25">
      <c r="B70" s="2"/>
      <c r="C70" s="3"/>
      <c r="O70" s="10" t="s">
        <v>252</v>
      </c>
      <c r="P70" s="4" t="s">
        <v>275</v>
      </c>
    </row>
    <row r="71" spans="2:16" x14ac:dyDescent="0.25">
      <c r="B71" s="2"/>
      <c r="C71" s="3"/>
      <c r="O71" s="10" t="s">
        <v>253</v>
      </c>
      <c r="P71" s="4" t="s">
        <v>276</v>
      </c>
    </row>
    <row r="72" spans="2:16" x14ac:dyDescent="0.25">
      <c r="B72" s="2"/>
      <c r="C72" s="3"/>
      <c r="O72" s="10" t="s">
        <v>254</v>
      </c>
      <c r="P72" s="4" t="s">
        <v>274</v>
      </c>
    </row>
    <row r="73" spans="2:16" x14ac:dyDescent="0.25">
      <c r="B73" s="2"/>
      <c r="C73" s="3"/>
      <c r="O73" s="10" t="s">
        <v>255</v>
      </c>
      <c r="P73" s="4" t="s">
        <v>285</v>
      </c>
    </row>
    <row r="74" spans="2:16" x14ac:dyDescent="0.25">
      <c r="B74" s="2"/>
      <c r="C74" s="3"/>
      <c r="O74" s="10" t="s">
        <v>256</v>
      </c>
      <c r="P74" s="4" t="s">
        <v>274</v>
      </c>
    </row>
    <row r="75" spans="2:16" x14ac:dyDescent="0.25">
      <c r="B75" s="2"/>
      <c r="C75" s="3"/>
      <c r="O75" s="10" t="s">
        <v>257</v>
      </c>
      <c r="P75" s="4" t="s">
        <v>285</v>
      </c>
    </row>
    <row r="76" spans="2:16" x14ac:dyDescent="0.25">
      <c r="B76" s="2"/>
      <c r="C76" s="3"/>
      <c r="O76" s="10" t="s">
        <v>258</v>
      </c>
      <c r="P76" s="4" t="s">
        <v>279</v>
      </c>
    </row>
    <row r="77" spans="2:16" x14ac:dyDescent="0.25">
      <c r="B77" s="2"/>
      <c r="C77" s="3"/>
      <c r="O77" s="10" t="s">
        <v>259</v>
      </c>
      <c r="P77" s="4" t="s">
        <v>277</v>
      </c>
    </row>
    <row r="78" spans="2:16" x14ac:dyDescent="0.25">
      <c r="B78" s="2"/>
      <c r="C78" s="3"/>
      <c r="O78" s="10" t="s">
        <v>260</v>
      </c>
      <c r="P78" s="4" t="s">
        <v>277</v>
      </c>
    </row>
    <row r="79" spans="2:16" x14ac:dyDescent="0.25">
      <c r="B79" s="2"/>
      <c r="C79" s="3"/>
      <c r="O79" s="10" t="s">
        <v>261</v>
      </c>
      <c r="P79" s="4" t="s">
        <v>277</v>
      </c>
    </row>
    <row r="80" spans="2:16" x14ac:dyDescent="0.25">
      <c r="B80" s="2"/>
      <c r="C80" s="3"/>
      <c r="O80" s="10" t="s">
        <v>262</v>
      </c>
      <c r="P80" s="4" t="s">
        <v>280</v>
      </c>
    </row>
    <row r="81" spans="2:16" x14ac:dyDescent="0.25">
      <c r="B81" s="2"/>
      <c r="C81" s="3"/>
      <c r="O81" s="10" t="s">
        <v>263</v>
      </c>
      <c r="P81" s="4" t="s">
        <v>284</v>
      </c>
    </row>
    <row r="82" spans="2:16" x14ac:dyDescent="0.25">
      <c r="B82" s="2"/>
      <c r="C82" s="3"/>
      <c r="O82" s="10" t="s">
        <v>264</v>
      </c>
      <c r="P82" s="4" t="s">
        <v>275</v>
      </c>
    </row>
    <row r="83" spans="2:16" x14ac:dyDescent="0.25">
      <c r="B83" s="2"/>
      <c r="C83" s="3"/>
      <c r="O83" s="10" t="s">
        <v>265</v>
      </c>
      <c r="P83" s="4" t="s">
        <v>278</v>
      </c>
    </row>
    <row r="84" spans="2:16" x14ac:dyDescent="0.25">
      <c r="B84" s="2"/>
      <c r="C84" s="3"/>
      <c r="O84" s="10" t="s">
        <v>266</v>
      </c>
      <c r="P84" s="4" t="s">
        <v>281</v>
      </c>
    </row>
    <row r="85" spans="2:16" x14ac:dyDescent="0.25">
      <c r="B85" s="2"/>
      <c r="C85" s="3"/>
      <c r="O85" s="10" t="s">
        <v>267</v>
      </c>
      <c r="P85" s="4" t="s">
        <v>278</v>
      </c>
    </row>
    <row r="86" spans="2:16" x14ac:dyDescent="0.25">
      <c r="B86" s="2"/>
      <c r="C86" s="3"/>
      <c r="O86" s="10" t="s">
        <v>268</v>
      </c>
      <c r="P86" s="4" t="s">
        <v>276</v>
      </c>
    </row>
    <row r="87" spans="2:16" x14ac:dyDescent="0.25">
      <c r="B87" s="2"/>
      <c r="C87" s="3"/>
      <c r="O87" s="10" t="s">
        <v>269</v>
      </c>
      <c r="P87" s="4" t="s">
        <v>285</v>
      </c>
    </row>
    <row r="88" spans="2:16" x14ac:dyDescent="0.25">
      <c r="B88" s="2"/>
      <c r="C88" s="3"/>
      <c r="O88" s="10" t="s">
        <v>270</v>
      </c>
      <c r="P88" s="4" t="s">
        <v>285</v>
      </c>
    </row>
    <row r="89" spans="2:16" x14ac:dyDescent="0.25">
      <c r="O89" s="10" t="s">
        <v>271</v>
      </c>
      <c r="P89" s="4" t="s">
        <v>275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1">
    <tabColor theme="7" tint="0.59999389629810485"/>
  </sheetPr>
  <dimension ref="A1:B54"/>
  <sheetViews>
    <sheetView workbookViewId="0"/>
  </sheetViews>
  <sheetFormatPr defaultColWidth="8.90625" defaultRowHeight="14.5" x14ac:dyDescent="0.25"/>
  <cols>
    <col min="1" max="1" width="38.90625" style="22" bestFit="1" customWidth="1"/>
    <col min="2" max="2" width="22.26953125" style="22" customWidth="1"/>
    <col min="3" max="16384" width="8.90625" style="22"/>
  </cols>
  <sheetData>
    <row r="1" spans="1:2" x14ac:dyDescent="0.25">
      <c r="A1" s="55" t="s">
        <v>1795</v>
      </c>
      <c r="B1" s="19" t="s">
        <v>1796</v>
      </c>
    </row>
    <row r="2" spans="1:2" x14ac:dyDescent="0.25">
      <c r="A2" s="21" t="s">
        <v>1436</v>
      </c>
      <c r="B2" s="21" t="s">
        <v>1435</v>
      </c>
    </row>
    <row r="3" spans="1:2" x14ac:dyDescent="0.25">
      <c r="A3" s="21" t="s">
        <v>1736</v>
      </c>
      <c r="B3" s="21" t="s">
        <v>1735</v>
      </c>
    </row>
    <row r="4" spans="1:2" x14ac:dyDescent="0.25">
      <c r="A4" s="21" t="s">
        <v>1526</v>
      </c>
      <c r="B4" s="21" t="s">
        <v>1525</v>
      </c>
    </row>
    <row r="5" spans="1:2" x14ac:dyDescent="0.25">
      <c r="A5" s="21" t="s">
        <v>1516</v>
      </c>
      <c r="B5" s="21" t="s">
        <v>1515</v>
      </c>
    </row>
    <row r="6" spans="1:2" x14ac:dyDescent="0.25">
      <c r="A6" s="21" t="s">
        <v>1332</v>
      </c>
      <c r="B6" s="21" t="s">
        <v>1331</v>
      </c>
    </row>
    <row r="7" spans="1:2" x14ac:dyDescent="0.25">
      <c r="A7" s="21" t="s">
        <v>1766</v>
      </c>
      <c r="B7" s="21" t="s">
        <v>1765</v>
      </c>
    </row>
    <row r="8" spans="1:2" x14ac:dyDescent="0.25">
      <c r="A8" s="21" t="s">
        <v>1650</v>
      </c>
      <c r="B8" s="21" t="s">
        <v>1649</v>
      </c>
    </row>
    <row r="9" spans="1:2" x14ac:dyDescent="0.25">
      <c r="A9" s="21" t="s">
        <v>1360</v>
      </c>
      <c r="B9" s="21" t="s">
        <v>1359</v>
      </c>
    </row>
    <row r="10" spans="1:2" x14ac:dyDescent="0.25">
      <c r="A10" s="21" t="s">
        <v>1594</v>
      </c>
      <c r="B10" s="21" t="s">
        <v>1593</v>
      </c>
    </row>
    <row r="11" spans="1:2" x14ac:dyDescent="0.25">
      <c r="A11" s="21" t="s">
        <v>1692</v>
      </c>
      <c r="B11" s="21" t="s">
        <v>1691</v>
      </c>
    </row>
    <row r="12" spans="1:2" x14ac:dyDescent="0.25">
      <c r="A12" s="21" t="s">
        <v>1396</v>
      </c>
      <c r="B12" s="21" t="s">
        <v>1395</v>
      </c>
    </row>
    <row r="13" spans="1:2" x14ac:dyDescent="0.25">
      <c r="A13" s="21" t="s">
        <v>1568</v>
      </c>
      <c r="B13" s="21" t="s">
        <v>1567</v>
      </c>
    </row>
    <row r="14" spans="1:2" x14ac:dyDescent="0.25">
      <c r="A14" s="21" t="s">
        <v>1392</v>
      </c>
      <c r="B14" s="21" t="s">
        <v>1391</v>
      </c>
    </row>
    <row r="15" spans="1:2" x14ac:dyDescent="0.25">
      <c r="A15" s="21" t="s">
        <v>1588</v>
      </c>
      <c r="B15" s="21" t="s">
        <v>1587</v>
      </c>
    </row>
    <row r="16" spans="1:2" x14ac:dyDescent="0.25">
      <c r="A16" s="21" t="s">
        <v>1748</v>
      </c>
      <c r="B16" s="21" t="s">
        <v>1747</v>
      </c>
    </row>
    <row r="17" spans="1:2" x14ac:dyDescent="0.25">
      <c r="A17" s="21" t="s">
        <v>1344</v>
      </c>
      <c r="B17" s="21" t="s">
        <v>1343</v>
      </c>
    </row>
    <row r="18" spans="1:2" x14ac:dyDescent="0.25">
      <c r="A18" s="21" t="s">
        <v>1628</v>
      </c>
      <c r="B18" s="21" t="s">
        <v>1627</v>
      </c>
    </row>
    <row r="19" spans="1:2" x14ac:dyDescent="0.25">
      <c r="A19" s="21" t="s">
        <v>1536</v>
      </c>
      <c r="B19" s="21" t="s">
        <v>1535</v>
      </c>
    </row>
    <row r="20" spans="1:2" x14ac:dyDescent="0.25">
      <c r="A20" s="21" t="s">
        <v>1510</v>
      </c>
      <c r="B20" s="21" t="s">
        <v>1509</v>
      </c>
    </row>
    <row r="21" spans="1:2" x14ac:dyDescent="0.25">
      <c r="A21" s="21" t="s">
        <v>1576</v>
      </c>
      <c r="B21" s="21" t="s">
        <v>1575</v>
      </c>
    </row>
    <row r="22" spans="1:2" x14ac:dyDescent="0.25">
      <c r="A22" s="21" t="s">
        <v>1400</v>
      </c>
      <c r="B22" s="21" t="s">
        <v>1399</v>
      </c>
    </row>
    <row r="23" spans="1:2" x14ac:dyDescent="0.25">
      <c r="A23" s="21" t="s">
        <v>1726</v>
      </c>
      <c r="B23" s="21" t="s">
        <v>1725</v>
      </c>
    </row>
    <row r="24" spans="1:2" x14ac:dyDescent="0.25">
      <c r="A24" s="21" t="s">
        <v>1356</v>
      </c>
      <c r="B24" s="21" t="s">
        <v>1355</v>
      </c>
    </row>
    <row r="25" spans="1:2" x14ac:dyDescent="0.25">
      <c r="A25" s="21" t="s">
        <v>1412</v>
      </c>
      <c r="B25" s="21" t="s">
        <v>1411</v>
      </c>
    </row>
    <row r="26" spans="1:2" x14ac:dyDescent="0.25">
      <c r="A26" s="21" t="s">
        <v>1420</v>
      </c>
      <c r="B26" s="21" t="s">
        <v>1419</v>
      </c>
    </row>
    <row r="27" spans="1:2" x14ac:dyDescent="0.25">
      <c r="A27" s="21" t="s">
        <v>1366</v>
      </c>
      <c r="B27" s="21" t="s">
        <v>1365</v>
      </c>
    </row>
    <row r="28" spans="1:2" x14ac:dyDescent="0.25">
      <c r="A28" s="21" t="s">
        <v>1322</v>
      </c>
      <c r="B28" s="21" t="s">
        <v>1321</v>
      </c>
    </row>
    <row r="29" spans="1:2" x14ac:dyDescent="0.25">
      <c r="A29" s="21" t="s">
        <v>1446</v>
      </c>
      <c r="B29" s="21" t="s">
        <v>1445</v>
      </c>
    </row>
    <row r="30" spans="1:2" x14ac:dyDescent="0.25">
      <c r="A30" s="21" t="s">
        <v>1696</v>
      </c>
      <c r="B30" s="21" t="s">
        <v>1695</v>
      </c>
    </row>
    <row r="31" spans="1:2" x14ac:dyDescent="0.25">
      <c r="A31" s="21" t="s">
        <v>1754</v>
      </c>
      <c r="B31" s="21" t="s">
        <v>1753</v>
      </c>
    </row>
    <row r="32" spans="1:2" x14ac:dyDescent="0.25">
      <c r="A32" s="21" t="s">
        <v>1786</v>
      </c>
      <c r="B32" s="21" t="s">
        <v>1785</v>
      </c>
    </row>
    <row r="33" spans="1:2" x14ac:dyDescent="0.25">
      <c r="A33" s="21" t="s">
        <v>1484</v>
      </c>
      <c r="B33" s="21" t="s">
        <v>1483</v>
      </c>
    </row>
    <row r="34" spans="1:2" x14ac:dyDescent="0.25">
      <c r="A34" s="21" t="s">
        <v>1464</v>
      </c>
      <c r="B34" s="21" t="s">
        <v>1463</v>
      </c>
    </row>
    <row r="35" spans="1:2" x14ac:dyDescent="0.25">
      <c r="A35" s="21" t="s">
        <v>1760</v>
      </c>
      <c r="B35" s="21" t="s">
        <v>1759</v>
      </c>
    </row>
    <row r="36" spans="1:2" x14ac:dyDescent="0.25">
      <c r="A36" s="21" t="s">
        <v>1416</v>
      </c>
      <c r="B36" s="21" t="s">
        <v>1415</v>
      </c>
    </row>
    <row r="37" spans="1:2" x14ac:dyDescent="0.25">
      <c r="A37" s="21" t="s">
        <v>1670</v>
      </c>
      <c r="B37" s="21" t="s">
        <v>1669</v>
      </c>
    </row>
    <row r="38" spans="1:2" x14ac:dyDescent="0.25">
      <c r="A38" s="21" t="s">
        <v>1384</v>
      </c>
      <c r="B38" s="21" t="s">
        <v>1383</v>
      </c>
    </row>
    <row r="39" spans="1:2" x14ac:dyDescent="0.25">
      <c r="A39" s="21" t="s">
        <v>1476</v>
      </c>
      <c r="B39" s="21" t="s">
        <v>1475</v>
      </c>
    </row>
    <row r="40" spans="1:2" x14ac:dyDescent="0.25">
      <c r="A40" s="21" t="s">
        <v>1676</v>
      </c>
      <c r="B40" s="21" t="s">
        <v>1675</v>
      </c>
    </row>
    <row r="41" spans="1:2" x14ac:dyDescent="0.25">
      <c r="A41" s="21" t="s">
        <v>1720</v>
      </c>
      <c r="B41" s="21" t="s">
        <v>1719</v>
      </c>
    </row>
    <row r="42" spans="1:2" x14ac:dyDescent="0.25">
      <c r="A42" s="21" t="s">
        <v>1454</v>
      </c>
      <c r="B42" s="21" t="s">
        <v>1453</v>
      </c>
    </row>
    <row r="43" spans="1:2" x14ac:dyDescent="0.25">
      <c r="A43" s="21" t="s">
        <v>1688</v>
      </c>
      <c r="B43" s="21" t="s">
        <v>1687</v>
      </c>
    </row>
    <row r="44" spans="1:2" x14ac:dyDescent="0.25">
      <c r="A44" s="21" t="s">
        <v>1658</v>
      </c>
      <c r="B44" s="21" t="s">
        <v>1657</v>
      </c>
    </row>
    <row r="45" spans="1:2" x14ac:dyDescent="0.25">
      <c r="A45" s="21" t="s">
        <v>1352</v>
      </c>
      <c r="B45" s="21" t="s">
        <v>1351</v>
      </c>
    </row>
    <row r="46" spans="1:2" x14ac:dyDescent="0.25">
      <c r="A46" s="21" t="s">
        <v>1732</v>
      </c>
      <c r="B46" s="21" t="s">
        <v>1731</v>
      </c>
    </row>
    <row r="47" spans="1:2" x14ac:dyDescent="0.25">
      <c r="A47" s="21" t="s">
        <v>1554</v>
      </c>
      <c r="B47" s="21" t="s">
        <v>1553</v>
      </c>
    </row>
    <row r="48" spans="1:2" x14ac:dyDescent="0.25">
      <c r="A48" s="21" t="s">
        <v>1782</v>
      </c>
      <c r="B48" s="21" t="s">
        <v>1781</v>
      </c>
    </row>
    <row r="49" spans="1:2" x14ac:dyDescent="0.25">
      <c r="A49" s="21" t="s">
        <v>1522</v>
      </c>
      <c r="B49" s="21" t="s">
        <v>1521</v>
      </c>
    </row>
    <row r="50" spans="1:2" x14ac:dyDescent="0.25">
      <c r="A50" s="21" t="s">
        <v>1496</v>
      </c>
      <c r="B50" s="21" t="s">
        <v>1495</v>
      </c>
    </row>
    <row r="51" spans="1:2" x14ac:dyDescent="0.25">
      <c r="A51" s="21" t="s">
        <v>1620</v>
      </c>
      <c r="B51" s="21" t="s">
        <v>1619</v>
      </c>
    </row>
    <row r="52" spans="1:2" x14ac:dyDescent="0.25">
      <c r="A52" s="21" t="s">
        <v>1480</v>
      </c>
      <c r="B52" s="21" t="s">
        <v>1479</v>
      </c>
    </row>
    <row r="53" spans="1:2" x14ac:dyDescent="0.25">
      <c r="A53" s="21" t="s">
        <v>1530</v>
      </c>
      <c r="B53" s="21" t="s">
        <v>1529</v>
      </c>
    </row>
    <row r="54" spans="1:2" x14ac:dyDescent="0.25">
      <c r="A54" s="376" t="s">
        <v>2076</v>
      </c>
      <c r="B54" s="376" t="s">
        <v>2077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7">
    <tabColor theme="7" tint="0.59999389629810485"/>
  </sheetPr>
  <dimension ref="A1:B187"/>
  <sheetViews>
    <sheetView topLeftCell="A167" workbookViewId="0"/>
  </sheetViews>
  <sheetFormatPr defaultColWidth="8.90625" defaultRowHeight="12.5" x14ac:dyDescent="0.25"/>
  <cols>
    <col min="1" max="1" width="49.08984375" style="2" customWidth="1"/>
    <col min="2" max="2" width="16.36328125" style="2" customWidth="1"/>
    <col min="3" max="16384" width="8.90625" style="2"/>
  </cols>
  <sheetData>
    <row r="1" spans="1:2" x14ac:dyDescent="0.25">
      <c r="A1" s="12" t="s">
        <v>1798</v>
      </c>
      <c r="B1" s="11" t="s">
        <v>1797</v>
      </c>
    </row>
    <row r="2" spans="1:2" ht="14.5" x14ac:dyDescent="0.25">
      <c r="A2" s="18" t="s">
        <v>1540</v>
      </c>
      <c r="B2" s="18" t="s">
        <v>1539</v>
      </c>
    </row>
    <row r="3" spans="1:2" ht="14.5" x14ac:dyDescent="0.25">
      <c r="A3" s="18" t="s">
        <v>1438</v>
      </c>
      <c r="B3" s="18" t="s">
        <v>1437</v>
      </c>
    </row>
    <row r="4" spans="1:2" ht="14.5" x14ac:dyDescent="0.25">
      <c r="A4" s="18" t="s">
        <v>1618</v>
      </c>
      <c r="B4" s="18" t="s">
        <v>1617</v>
      </c>
    </row>
    <row r="5" spans="1:2" ht="14.5" x14ac:dyDescent="0.25">
      <c r="A5" s="18" t="s">
        <v>1792</v>
      </c>
      <c r="B5" s="18" t="s">
        <v>1791</v>
      </c>
    </row>
    <row r="6" spans="1:2" ht="14.5" x14ac:dyDescent="0.25">
      <c r="A6" s="18" t="s">
        <v>1752</v>
      </c>
      <c r="B6" s="18" t="s">
        <v>1751</v>
      </c>
    </row>
    <row r="7" spans="1:2" ht="14.5" x14ac:dyDescent="0.25">
      <c r="A7" s="18" t="s">
        <v>1626</v>
      </c>
      <c r="B7" s="18" t="s">
        <v>1625</v>
      </c>
    </row>
    <row r="8" spans="1:2" ht="14.5" x14ac:dyDescent="0.25">
      <c r="A8" s="18" t="s">
        <v>1702</v>
      </c>
      <c r="B8" s="18" t="s">
        <v>1701</v>
      </c>
    </row>
    <row r="9" spans="1:2" ht="14.5" x14ac:dyDescent="0.25">
      <c r="A9" s="18" t="s">
        <v>1408</v>
      </c>
      <c r="B9" s="18" t="s">
        <v>1407</v>
      </c>
    </row>
    <row r="10" spans="1:2" ht="14.5" x14ac:dyDescent="0.25">
      <c r="A10" s="18" t="s">
        <v>1682</v>
      </c>
      <c r="B10" s="18" t="s">
        <v>1681</v>
      </c>
    </row>
    <row r="11" spans="1:2" ht="14.5" x14ac:dyDescent="0.25">
      <c r="A11" s="18" t="s">
        <v>1406</v>
      </c>
      <c r="B11" s="18" t="s">
        <v>1405</v>
      </c>
    </row>
    <row r="12" spans="1:2" ht="14.5" x14ac:dyDescent="0.25">
      <c r="A12" s="18" t="s">
        <v>1404</v>
      </c>
      <c r="B12" s="18" t="s">
        <v>1403</v>
      </c>
    </row>
    <row r="13" spans="1:2" ht="14.5" x14ac:dyDescent="0.25">
      <c r="A13" s="18" t="s">
        <v>1452</v>
      </c>
      <c r="B13" s="18" t="s">
        <v>1451</v>
      </c>
    </row>
    <row r="14" spans="1:2" ht="14.5" x14ac:dyDescent="0.25">
      <c r="A14" s="18" t="s">
        <v>1738</v>
      </c>
      <c r="B14" s="18" t="s">
        <v>1737</v>
      </c>
    </row>
    <row r="15" spans="1:2" ht="14.5" x14ac:dyDescent="0.25">
      <c r="A15" s="18" t="s">
        <v>1744</v>
      </c>
      <c r="B15" s="18" t="s">
        <v>1743</v>
      </c>
    </row>
    <row r="16" spans="1:2" ht="14.5" x14ac:dyDescent="0.25">
      <c r="A16" s="18" t="s">
        <v>1528</v>
      </c>
      <c r="B16" s="18" t="s">
        <v>1527</v>
      </c>
    </row>
    <row r="17" spans="1:2" ht="14.5" x14ac:dyDescent="0.25">
      <c r="A17" s="18" t="s">
        <v>1426</v>
      </c>
      <c r="B17" s="18" t="s">
        <v>1425</v>
      </c>
    </row>
    <row r="18" spans="1:2" ht="14.5" x14ac:dyDescent="0.25">
      <c r="A18" s="18" t="s">
        <v>1710</v>
      </c>
      <c r="B18" s="18" t="s">
        <v>1709</v>
      </c>
    </row>
    <row r="19" spans="1:2" ht="14.5" x14ac:dyDescent="0.25">
      <c r="A19" s="18" t="s">
        <v>1708</v>
      </c>
      <c r="B19" s="18" t="s">
        <v>1707</v>
      </c>
    </row>
    <row r="20" spans="1:2" ht="14.5" x14ac:dyDescent="0.25">
      <c r="A20" s="18" t="s">
        <v>1770</v>
      </c>
      <c r="B20" s="18" t="s">
        <v>1769</v>
      </c>
    </row>
    <row r="21" spans="1:2" ht="14.5" x14ac:dyDescent="0.25">
      <c r="A21" s="18" t="s">
        <v>1430</v>
      </c>
      <c r="B21" s="18" t="s">
        <v>1429</v>
      </c>
    </row>
    <row r="22" spans="1:2" ht="14.5" x14ac:dyDescent="0.25">
      <c r="A22" s="18" t="s">
        <v>1334</v>
      </c>
      <c r="B22" s="18" t="s">
        <v>1333</v>
      </c>
    </row>
    <row r="23" spans="1:2" ht="14.5" x14ac:dyDescent="0.25">
      <c r="A23" s="18" t="s">
        <v>1338</v>
      </c>
      <c r="B23" s="18" t="s">
        <v>1337</v>
      </c>
    </row>
    <row r="24" spans="1:2" ht="14.5" x14ac:dyDescent="0.25">
      <c r="A24" s="18" t="s">
        <v>1424</v>
      </c>
      <c r="B24" s="18" t="s">
        <v>1423</v>
      </c>
    </row>
    <row r="25" spans="1:2" ht="14.5" x14ac:dyDescent="0.25">
      <c r="A25" s="18" t="s">
        <v>1428</v>
      </c>
      <c r="B25" s="18" t="s">
        <v>1427</v>
      </c>
    </row>
    <row r="26" spans="1:2" ht="14.5" x14ac:dyDescent="0.25">
      <c r="A26" s="18" t="s">
        <v>1340</v>
      </c>
      <c r="B26" s="18" t="s">
        <v>1339</v>
      </c>
    </row>
    <row r="27" spans="1:2" ht="14.5" x14ac:dyDescent="0.25">
      <c r="A27" s="18" t="s">
        <v>1462</v>
      </c>
      <c r="B27" s="18" t="s">
        <v>1461</v>
      </c>
    </row>
    <row r="28" spans="1:2" ht="14.5" x14ac:dyDescent="0.25">
      <c r="A28" s="18" t="s">
        <v>1458</v>
      </c>
      <c r="B28" s="18" t="s">
        <v>1457</v>
      </c>
    </row>
    <row r="29" spans="1:2" ht="14.5" x14ac:dyDescent="0.25">
      <c r="A29" s="18" t="s">
        <v>1336</v>
      </c>
      <c r="B29" s="18" t="s">
        <v>1335</v>
      </c>
    </row>
    <row r="30" spans="1:2" ht="14.5" x14ac:dyDescent="0.25">
      <c r="A30" s="18" t="s">
        <v>1342</v>
      </c>
      <c r="B30" s="18" t="s">
        <v>1341</v>
      </c>
    </row>
    <row r="31" spans="1:2" ht="14.5" x14ac:dyDescent="0.25">
      <c r="A31" s="18" t="s">
        <v>1768</v>
      </c>
      <c r="B31" s="18" t="s">
        <v>1767</v>
      </c>
    </row>
    <row r="32" spans="1:2" ht="14.5" x14ac:dyDescent="0.25">
      <c r="A32" s="18" t="s">
        <v>1652</v>
      </c>
      <c r="B32" s="18" t="s">
        <v>1651</v>
      </c>
    </row>
    <row r="33" spans="1:2" ht="14.5" x14ac:dyDescent="0.25">
      <c r="A33" s="18" t="s">
        <v>1642</v>
      </c>
      <c r="B33" s="18" t="s">
        <v>1641</v>
      </c>
    </row>
    <row r="34" spans="1:2" ht="14.5" x14ac:dyDescent="0.25">
      <c r="A34" s="18" t="s">
        <v>1362</v>
      </c>
      <c r="B34" s="18" t="s">
        <v>1361</v>
      </c>
    </row>
    <row r="35" spans="1:2" ht="14.5" x14ac:dyDescent="0.25">
      <c r="A35" s="18" t="s">
        <v>1596</v>
      </c>
      <c r="B35" s="18" t="s">
        <v>1595</v>
      </c>
    </row>
    <row r="36" spans="1:2" ht="14.5" x14ac:dyDescent="0.25">
      <c r="A36" s="18" t="s">
        <v>1694</v>
      </c>
      <c r="B36" s="18" t="s">
        <v>1693</v>
      </c>
    </row>
    <row r="37" spans="1:2" ht="14.5" x14ac:dyDescent="0.25">
      <c r="A37" s="18" t="s">
        <v>1398</v>
      </c>
      <c r="B37" s="18" t="s">
        <v>1397</v>
      </c>
    </row>
    <row r="38" spans="1:2" ht="14.5" x14ac:dyDescent="0.25">
      <c r="A38" s="18" t="s">
        <v>1570</v>
      </c>
      <c r="B38" s="18" t="s">
        <v>1569</v>
      </c>
    </row>
    <row r="39" spans="1:2" ht="14.5" x14ac:dyDescent="0.25">
      <c r="A39" s="18" t="s">
        <v>1672</v>
      </c>
      <c r="B39" s="18" t="s">
        <v>1671</v>
      </c>
    </row>
    <row r="40" spans="1:2" ht="14.5" x14ac:dyDescent="0.25">
      <c r="A40" s="18" t="s">
        <v>1616</v>
      </c>
      <c r="B40" s="18" t="s">
        <v>1615</v>
      </c>
    </row>
    <row r="41" spans="1:2" ht="14.5" x14ac:dyDescent="0.25">
      <c r="A41" s="18" t="s">
        <v>1450</v>
      </c>
      <c r="B41" s="18" t="s">
        <v>1449</v>
      </c>
    </row>
    <row r="42" spans="1:2" ht="14.5" x14ac:dyDescent="0.25">
      <c r="A42" s="18" t="s">
        <v>1518</v>
      </c>
      <c r="B42" s="18" t="s">
        <v>1517</v>
      </c>
    </row>
    <row r="43" spans="1:2" ht="14.5" x14ac:dyDescent="0.25">
      <c r="A43" s="18" t="s">
        <v>1598</v>
      </c>
      <c r="B43" s="18" t="s">
        <v>1597</v>
      </c>
    </row>
    <row r="44" spans="1:2" ht="14.5" x14ac:dyDescent="0.25">
      <c r="A44" s="18" t="s">
        <v>1394</v>
      </c>
      <c r="B44" s="18" t="s">
        <v>1393</v>
      </c>
    </row>
    <row r="45" spans="1:2" ht="14.5" x14ac:dyDescent="0.25">
      <c r="A45" s="18" t="s">
        <v>1764</v>
      </c>
      <c r="B45" s="18" t="s">
        <v>1763</v>
      </c>
    </row>
    <row r="46" spans="1:2" ht="14.5" x14ac:dyDescent="0.25">
      <c r="A46" s="18" t="s">
        <v>1590</v>
      </c>
      <c r="B46" s="18" t="s">
        <v>1589</v>
      </c>
    </row>
    <row r="47" spans="1:2" ht="14.5" x14ac:dyDescent="0.25">
      <c r="A47" s="18" t="s">
        <v>1750</v>
      </c>
      <c r="B47" s="18" t="s">
        <v>1749</v>
      </c>
    </row>
    <row r="48" spans="1:2" ht="14.5" x14ac:dyDescent="0.25">
      <c r="A48" s="18" t="s">
        <v>1372</v>
      </c>
      <c r="B48" s="18" t="s">
        <v>1371</v>
      </c>
    </row>
    <row r="49" spans="1:2" ht="14.5" x14ac:dyDescent="0.25">
      <c r="A49" s="18" t="s">
        <v>1636</v>
      </c>
      <c r="B49" s="18" t="s">
        <v>1635</v>
      </c>
    </row>
    <row r="50" spans="1:2" ht="14.5" x14ac:dyDescent="0.25">
      <c r="A50" s="18" t="s">
        <v>1350</v>
      </c>
      <c r="B50" s="18" t="s">
        <v>1349</v>
      </c>
    </row>
    <row r="51" spans="1:2" ht="14.5" x14ac:dyDescent="0.25">
      <c r="A51" s="18" t="s">
        <v>1778</v>
      </c>
      <c r="B51" s="18" t="s">
        <v>1777</v>
      </c>
    </row>
    <row r="52" spans="1:2" ht="14.5" x14ac:dyDescent="0.25">
      <c r="A52" s="18" t="s">
        <v>1376</v>
      </c>
      <c r="B52" s="18" t="s">
        <v>1375</v>
      </c>
    </row>
    <row r="53" spans="1:2" ht="14.5" x14ac:dyDescent="0.25">
      <c r="A53" s="18" t="s">
        <v>1346</v>
      </c>
      <c r="B53" s="18" t="s">
        <v>1345</v>
      </c>
    </row>
    <row r="54" spans="1:2" ht="14.5" x14ac:dyDescent="0.25">
      <c r="A54" s="18" t="s">
        <v>1348</v>
      </c>
      <c r="B54" s="18" t="s">
        <v>1347</v>
      </c>
    </row>
    <row r="55" spans="1:2" ht="14.5" x14ac:dyDescent="0.25">
      <c r="A55" s="18" t="s">
        <v>1634</v>
      </c>
      <c r="B55" s="18" t="s">
        <v>1633</v>
      </c>
    </row>
    <row r="56" spans="1:2" ht="14.5" x14ac:dyDescent="0.25">
      <c r="A56" s="18" t="s">
        <v>1654</v>
      </c>
      <c r="B56" s="18" t="s">
        <v>1653</v>
      </c>
    </row>
    <row r="57" spans="1:2" ht="14.5" x14ac:dyDescent="0.25">
      <c r="A57" s="18" t="s">
        <v>1674</v>
      </c>
      <c r="B57" s="18" t="s">
        <v>1673</v>
      </c>
    </row>
    <row r="58" spans="1:2" ht="14.5" x14ac:dyDescent="0.25">
      <c r="A58" s="18" t="s">
        <v>1712</v>
      </c>
      <c r="B58" s="18" t="s">
        <v>1711</v>
      </c>
    </row>
    <row r="59" spans="1:2" ht="14.5" x14ac:dyDescent="0.25">
      <c r="A59" s="18" t="s">
        <v>1380</v>
      </c>
      <c r="B59" s="18" t="s">
        <v>1379</v>
      </c>
    </row>
    <row r="60" spans="1:2" ht="14.5" x14ac:dyDescent="0.25">
      <c r="A60" s="18" t="s">
        <v>1364</v>
      </c>
      <c r="B60" s="18" t="s">
        <v>1363</v>
      </c>
    </row>
    <row r="61" spans="1:2" ht="14.5" x14ac:dyDescent="0.25">
      <c r="A61" s="18" t="s">
        <v>1382</v>
      </c>
      <c r="B61" s="18" t="s">
        <v>1381</v>
      </c>
    </row>
    <row r="62" spans="1:2" ht="14.5" x14ac:dyDescent="0.25">
      <c r="A62" s="18" t="s">
        <v>1630</v>
      </c>
      <c r="B62" s="18" t="s">
        <v>1629</v>
      </c>
    </row>
    <row r="63" spans="1:2" ht="14.5" x14ac:dyDescent="0.25">
      <c r="A63" s="18" t="s">
        <v>1538</v>
      </c>
      <c r="B63" s="18" t="s">
        <v>1537</v>
      </c>
    </row>
    <row r="64" spans="1:2" ht="14.5" x14ac:dyDescent="0.25">
      <c r="A64" s="18" t="s">
        <v>1512</v>
      </c>
      <c r="B64" s="18" t="s">
        <v>1511</v>
      </c>
    </row>
    <row r="65" spans="1:2" ht="14.5" x14ac:dyDescent="0.25">
      <c r="A65" s="18" t="s">
        <v>1578</v>
      </c>
      <c r="B65" s="18" t="s">
        <v>1577</v>
      </c>
    </row>
    <row r="66" spans="1:2" ht="14.5" x14ac:dyDescent="0.25">
      <c r="A66" s="18" t="s">
        <v>1608</v>
      </c>
      <c r="B66" s="18" t="s">
        <v>1607</v>
      </c>
    </row>
    <row r="67" spans="1:2" ht="14.5" x14ac:dyDescent="0.25">
      <c r="A67" s="18" t="s">
        <v>1548</v>
      </c>
      <c r="B67" s="18" t="s">
        <v>1547</v>
      </c>
    </row>
    <row r="68" spans="1:2" ht="14.5" x14ac:dyDescent="0.25">
      <c r="A68" s="18" t="s">
        <v>1572</v>
      </c>
      <c r="B68" s="18" t="s">
        <v>1571</v>
      </c>
    </row>
    <row r="69" spans="1:2" ht="14.5" x14ac:dyDescent="0.25">
      <c r="A69" s="18" t="s">
        <v>1574</v>
      </c>
      <c r="B69" s="18" t="s">
        <v>1573</v>
      </c>
    </row>
    <row r="70" spans="1:2" ht="14.5" x14ac:dyDescent="0.25">
      <c r="A70" s="18" t="s">
        <v>1728</v>
      </c>
      <c r="B70" s="18" t="s">
        <v>1727</v>
      </c>
    </row>
    <row r="71" spans="1:2" ht="14.5" x14ac:dyDescent="0.25">
      <c r="A71" s="18" t="s">
        <v>1780</v>
      </c>
      <c r="B71" s="18" t="s">
        <v>1779</v>
      </c>
    </row>
    <row r="72" spans="1:2" ht="14.5" x14ac:dyDescent="0.25">
      <c r="A72" s="18" t="s">
        <v>1632</v>
      </c>
      <c r="B72" s="18" t="s">
        <v>1631</v>
      </c>
    </row>
    <row r="73" spans="1:2" ht="14.5" x14ac:dyDescent="0.25">
      <c r="A73" s="18" t="s">
        <v>1668</v>
      </c>
      <c r="B73" s="18" t="s">
        <v>1667</v>
      </c>
    </row>
    <row r="74" spans="1:2" ht="14.5" x14ac:dyDescent="0.25">
      <c r="A74" s="18" t="s">
        <v>1520</v>
      </c>
      <c r="B74" s="18" t="s">
        <v>1519</v>
      </c>
    </row>
    <row r="75" spans="1:2" ht="14.5" x14ac:dyDescent="0.25">
      <c r="A75" s="18" t="s">
        <v>1730</v>
      </c>
      <c r="B75" s="18" t="s">
        <v>1729</v>
      </c>
    </row>
    <row r="76" spans="1:2" ht="14.5" x14ac:dyDescent="0.25">
      <c r="A76" s="18" t="s">
        <v>1624</v>
      </c>
      <c r="B76" s="18" t="s">
        <v>1623</v>
      </c>
    </row>
    <row r="77" spans="1:2" ht="14.5" x14ac:dyDescent="0.25">
      <c r="A77" s="18" t="s">
        <v>1410</v>
      </c>
      <c r="B77" s="18" t="s">
        <v>1409</v>
      </c>
    </row>
    <row r="78" spans="1:2" ht="14.5" x14ac:dyDescent="0.25">
      <c r="A78" s="18" t="s">
        <v>1758</v>
      </c>
      <c r="B78" s="18" t="s">
        <v>1757</v>
      </c>
    </row>
    <row r="79" spans="1:2" ht="14.5" x14ac:dyDescent="0.25">
      <c r="A79" s="18" t="s">
        <v>1666</v>
      </c>
      <c r="B79" s="18" t="s">
        <v>1665</v>
      </c>
    </row>
    <row r="80" spans="1:2" ht="14.5" x14ac:dyDescent="0.25">
      <c r="A80" s="18" t="s">
        <v>1662</v>
      </c>
      <c r="B80" s="18" t="s">
        <v>1661</v>
      </c>
    </row>
    <row r="81" spans="1:2" ht="14.5" x14ac:dyDescent="0.25">
      <c r="A81" s="18" t="s">
        <v>1664</v>
      </c>
      <c r="B81" s="18" t="s">
        <v>1663</v>
      </c>
    </row>
    <row r="82" spans="1:2" ht="14.5" x14ac:dyDescent="0.25">
      <c r="A82" s="18" t="s">
        <v>1776</v>
      </c>
      <c r="B82" s="18" t="s">
        <v>1775</v>
      </c>
    </row>
    <row r="83" spans="1:2" ht="14.5" x14ac:dyDescent="0.25">
      <c r="A83" s="18" t="s">
        <v>1358</v>
      </c>
      <c r="B83" s="18" t="s">
        <v>1357</v>
      </c>
    </row>
    <row r="84" spans="1:2" ht="14.5" x14ac:dyDescent="0.25">
      <c r="A84" s="18" t="s">
        <v>1390</v>
      </c>
      <c r="B84" s="18" t="s">
        <v>1389</v>
      </c>
    </row>
    <row r="85" spans="1:2" ht="14.5" x14ac:dyDescent="0.25">
      <c r="A85" s="18" t="s">
        <v>1414</v>
      </c>
      <c r="B85" s="18" t="s">
        <v>1413</v>
      </c>
    </row>
    <row r="86" spans="1:2" ht="14.5" x14ac:dyDescent="0.25">
      <c r="A86" s="18" t="s">
        <v>1500</v>
      </c>
      <c r="B86" s="18" t="s">
        <v>1499</v>
      </c>
    </row>
    <row r="87" spans="1:2" ht="14.5" x14ac:dyDescent="0.25">
      <c r="A87" s="18" t="s">
        <v>1686</v>
      </c>
      <c r="B87" s="18" t="s">
        <v>1685</v>
      </c>
    </row>
    <row r="88" spans="1:2" ht="14.5" x14ac:dyDescent="0.25">
      <c r="A88" s="18" t="s">
        <v>1494</v>
      </c>
      <c r="B88" s="18" t="s">
        <v>1493</v>
      </c>
    </row>
    <row r="89" spans="1:2" ht="14.5" x14ac:dyDescent="0.25">
      <c r="A89" s="18" t="s">
        <v>1614</v>
      </c>
      <c r="B89" s="18" t="s">
        <v>1613</v>
      </c>
    </row>
    <row r="90" spans="1:2" ht="14.5" x14ac:dyDescent="0.25">
      <c r="A90" s="18" t="s">
        <v>1610</v>
      </c>
      <c r="B90" s="18" t="s">
        <v>1609</v>
      </c>
    </row>
    <row r="91" spans="1:2" ht="14.5" x14ac:dyDescent="0.25">
      <c r="A91" s="18" t="s">
        <v>1684</v>
      </c>
      <c r="B91" s="18" t="s">
        <v>1683</v>
      </c>
    </row>
    <row r="92" spans="1:2" ht="14.5" x14ac:dyDescent="0.25">
      <c r="A92" s="18" t="s">
        <v>1422</v>
      </c>
      <c r="B92" s="18" t="s">
        <v>1421</v>
      </c>
    </row>
    <row r="93" spans="1:2" ht="14.5" x14ac:dyDescent="0.25">
      <c r="A93" s="18" t="s">
        <v>1388</v>
      </c>
      <c r="B93" s="18" t="s">
        <v>1387</v>
      </c>
    </row>
    <row r="94" spans="1:2" ht="14.5" x14ac:dyDescent="0.25">
      <c r="A94" s="18" t="s">
        <v>1368</v>
      </c>
      <c r="B94" s="18" t="s">
        <v>1367</v>
      </c>
    </row>
    <row r="95" spans="1:2" ht="14.5" x14ac:dyDescent="0.25">
      <c r="A95" s="18" t="s">
        <v>1724</v>
      </c>
      <c r="B95" s="18" t="s">
        <v>1723</v>
      </c>
    </row>
    <row r="96" spans="1:2" ht="14.5" x14ac:dyDescent="0.25">
      <c r="A96" s="18" t="s">
        <v>1704</v>
      </c>
      <c r="B96" s="18" t="s">
        <v>1703</v>
      </c>
    </row>
    <row r="97" spans="1:2" ht="14.5" x14ac:dyDescent="0.25">
      <c r="A97" s="18" t="s">
        <v>1492</v>
      </c>
      <c r="B97" s="18" t="s">
        <v>1491</v>
      </c>
    </row>
    <row r="98" spans="1:2" ht="14.5" x14ac:dyDescent="0.25">
      <c r="A98" s="18" t="s">
        <v>1444</v>
      </c>
      <c r="B98" s="18" t="s">
        <v>1443</v>
      </c>
    </row>
    <row r="99" spans="1:2" ht="14.5" x14ac:dyDescent="0.25">
      <c r="A99" s="18" t="s">
        <v>1488</v>
      </c>
      <c r="B99" s="18" t="s">
        <v>1487</v>
      </c>
    </row>
    <row r="100" spans="1:2" ht="14.5" x14ac:dyDescent="0.25">
      <c r="A100" s="18" t="s">
        <v>1378</v>
      </c>
      <c r="B100" s="18" t="s">
        <v>1377</v>
      </c>
    </row>
    <row r="101" spans="1:2" ht="14.5" x14ac:dyDescent="0.25">
      <c r="A101" s="18" t="s">
        <v>1440</v>
      </c>
      <c r="B101" s="18" t="s">
        <v>1439</v>
      </c>
    </row>
    <row r="102" spans="1:2" ht="14.5" x14ac:dyDescent="0.25">
      <c r="A102" s="18" t="s">
        <v>1324</v>
      </c>
      <c r="B102" s="18" t="s">
        <v>1323</v>
      </c>
    </row>
    <row r="103" spans="1:2" ht="14.5" x14ac:dyDescent="0.25">
      <c r="A103" s="18" t="s">
        <v>1326</v>
      </c>
      <c r="B103" s="18" t="s">
        <v>1325</v>
      </c>
    </row>
    <row r="104" spans="1:2" ht="14.5" x14ac:dyDescent="0.25">
      <c r="A104" s="18" t="s">
        <v>1442</v>
      </c>
      <c r="B104" s="18" t="s">
        <v>1441</v>
      </c>
    </row>
    <row r="105" spans="1:2" ht="14.5" x14ac:dyDescent="0.25">
      <c r="A105" s="18" t="s">
        <v>1706</v>
      </c>
      <c r="B105" s="18" t="s">
        <v>1705</v>
      </c>
    </row>
    <row r="106" spans="1:2" ht="14.5" x14ac:dyDescent="0.25">
      <c r="A106" s="18" t="s">
        <v>1432</v>
      </c>
      <c r="B106" s="18" t="s">
        <v>1431</v>
      </c>
    </row>
    <row r="107" spans="1:2" ht="14.5" x14ac:dyDescent="0.25">
      <c r="A107" s="18" t="s">
        <v>1718</v>
      </c>
      <c r="B107" s="18" t="s">
        <v>1717</v>
      </c>
    </row>
    <row r="108" spans="1:2" ht="14.5" x14ac:dyDescent="0.25">
      <c r="A108" s="18" t="s">
        <v>1794</v>
      </c>
      <c r="B108" s="18" t="s">
        <v>1793</v>
      </c>
    </row>
    <row r="109" spans="1:2" ht="14.5" x14ac:dyDescent="0.25">
      <c r="A109" s="18" t="s">
        <v>1434</v>
      </c>
      <c r="B109" s="18" t="s">
        <v>1433</v>
      </c>
    </row>
    <row r="110" spans="1:2" ht="14.5" x14ac:dyDescent="0.25">
      <c r="A110" s="18" t="s">
        <v>1328</v>
      </c>
      <c r="B110" s="18" t="s">
        <v>1327</v>
      </c>
    </row>
    <row r="111" spans="1:2" ht="14.5" x14ac:dyDescent="0.25">
      <c r="A111" s="18" t="s">
        <v>1746</v>
      </c>
      <c r="B111" s="18" t="s">
        <v>1745</v>
      </c>
    </row>
    <row r="112" spans="1:2" ht="14.5" x14ac:dyDescent="0.25">
      <c r="A112" s="18" t="s">
        <v>1330</v>
      </c>
      <c r="B112" s="18" t="s">
        <v>1329</v>
      </c>
    </row>
    <row r="113" spans="1:2" ht="14.5" x14ac:dyDescent="0.25">
      <c r="A113" s="18" t="s">
        <v>1490</v>
      </c>
      <c r="B113" s="18" t="s">
        <v>1489</v>
      </c>
    </row>
    <row r="114" spans="1:2" ht="14.5" x14ac:dyDescent="0.25">
      <c r="A114" s="18" t="s">
        <v>1680</v>
      </c>
      <c r="B114" s="18" t="s">
        <v>1679</v>
      </c>
    </row>
    <row r="115" spans="1:2" ht="14.5" x14ac:dyDescent="0.25">
      <c r="A115" s="18" t="s">
        <v>1604</v>
      </c>
      <c r="B115" s="18" t="s">
        <v>1603</v>
      </c>
    </row>
    <row r="116" spans="1:2" ht="14.5" x14ac:dyDescent="0.25">
      <c r="A116" s="18" t="s">
        <v>1448</v>
      </c>
      <c r="B116" s="18" t="s">
        <v>1447</v>
      </c>
    </row>
    <row r="117" spans="1:2" ht="14.5" x14ac:dyDescent="0.25">
      <c r="A117" s="18" t="s">
        <v>1402</v>
      </c>
      <c r="B117" s="18" t="s">
        <v>1401</v>
      </c>
    </row>
    <row r="118" spans="1:2" ht="14.5" x14ac:dyDescent="0.25">
      <c r="A118" s="18" t="s">
        <v>1698</v>
      </c>
      <c r="B118" s="18" t="s">
        <v>1697</v>
      </c>
    </row>
    <row r="119" spans="1:2" ht="14.5" x14ac:dyDescent="0.25">
      <c r="A119" s="18" t="s">
        <v>1756</v>
      </c>
      <c r="B119" s="18" t="s">
        <v>1755</v>
      </c>
    </row>
    <row r="120" spans="1:2" ht="14.5" x14ac:dyDescent="0.25">
      <c r="A120" s="18" t="s">
        <v>1788</v>
      </c>
      <c r="B120" s="18" t="s">
        <v>1787</v>
      </c>
    </row>
    <row r="121" spans="1:2" ht="14.5" x14ac:dyDescent="0.25">
      <c r="A121" s="18" t="s">
        <v>1582</v>
      </c>
      <c r="B121" s="18" t="s">
        <v>1581</v>
      </c>
    </row>
    <row r="122" spans="1:2" ht="14.5" x14ac:dyDescent="0.25">
      <c r="A122" s="18" t="s">
        <v>1580</v>
      </c>
      <c r="B122" s="18" t="s">
        <v>1579</v>
      </c>
    </row>
    <row r="123" spans="1:2" ht="14.5" x14ac:dyDescent="0.25">
      <c r="A123" s="18" t="s">
        <v>1486</v>
      </c>
      <c r="B123" s="18" t="s">
        <v>1485</v>
      </c>
    </row>
    <row r="124" spans="1:2" ht="14.5" x14ac:dyDescent="0.25">
      <c r="A124" s="18" t="s">
        <v>1612</v>
      </c>
      <c r="B124" s="18" t="s">
        <v>1611</v>
      </c>
    </row>
    <row r="125" spans="1:2" ht="14.5" x14ac:dyDescent="0.25">
      <c r="A125" s="18" t="s">
        <v>1466</v>
      </c>
      <c r="B125" s="18" t="s">
        <v>1465</v>
      </c>
    </row>
    <row r="126" spans="1:2" ht="14.5" x14ac:dyDescent="0.25">
      <c r="A126" s="18" t="s">
        <v>1606</v>
      </c>
      <c r="B126" s="18" t="s">
        <v>1605</v>
      </c>
    </row>
    <row r="127" spans="1:2" ht="14.5" x14ac:dyDescent="0.25">
      <c r="A127" s="18" t="s">
        <v>1700</v>
      </c>
      <c r="B127" s="18" t="s">
        <v>1699</v>
      </c>
    </row>
    <row r="128" spans="1:2" ht="14.5" x14ac:dyDescent="0.25">
      <c r="A128" s="18" t="s">
        <v>1762</v>
      </c>
      <c r="B128" s="18" t="s">
        <v>1761</v>
      </c>
    </row>
    <row r="129" spans="1:2" ht="14.5" x14ac:dyDescent="0.25">
      <c r="A129" s="18" t="s">
        <v>1418</v>
      </c>
      <c r="B129" s="18" t="s">
        <v>1417</v>
      </c>
    </row>
    <row r="130" spans="1:2" ht="14.5" x14ac:dyDescent="0.25">
      <c r="A130" s="18" t="s">
        <v>1386</v>
      </c>
      <c r="B130" s="18" t="s">
        <v>1385</v>
      </c>
    </row>
    <row r="131" spans="1:2" ht="14.5" x14ac:dyDescent="0.25">
      <c r="A131" s="18" t="s">
        <v>1478</v>
      </c>
      <c r="B131" s="18" t="s">
        <v>1477</v>
      </c>
    </row>
    <row r="132" spans="1:2" ht="14.5" x14ac:dyDescent="0.25">
      <c r="A132" s="18" t="s">
        <v>1678</v>
      </c>
      <c r="B132" s="18" t="s">
        <v>1677</v>
      </c>
    </row>
    <row r="133" spans="1:2" ht="14.5" x14ac:dyDescent="0.25">
      <c r="A133" s="18" t="s">
        <v>1722</v>
      </c>
      <c r="B133" s="18" t="s">
        <v>1721</v>
      </c>
    </row>
    <row r="134" spans="1:2" ht="14.5" x14ac:dyDescent="0.25">
      <c r="A134" s="18" t="s">
        <v>1474</v>
      </c>
      <c r="B134" s="18" t="s">
        <v>1473</v>
      </c>
    </row>
    <row r="135" spans="1:2" ht="14.5" x14ac:dyDescent="0.25">
      <c r="A135" s="18" t="s">
        <v>1456</v>
      </c>
      <c r="B135" s="18" t="s">
        <v>1455</v>
      </c>
    </row>
    <row r="136" spans="1:2" ht="14.5" x14ac:dyDescent="0.25">
      <c r="A136" s="18" t="s">
        <v>1690</v>
      </c>
      <c r="B136" s="18" t="s">
        <v>1689</v>
      </c>
    </row>
    <row r="137" spans="1:2" ht="14.5" x14ac:dyDescent="0.25">
      <c r="A137" s="18" t="s">
        <v>1660</v>
      </c>
      <c r="B137" s="18" t="s">
        <v>1659</v>
      </c>
    </row>
    <row r="138" spans="1:2" ht="14.5" x14ac:dyDescent="0.25">
      <c r="A138" s="18" t="s">
        <v>1506</v>
      </c>
      <c r="B138" s="18" t="s">
        <v>1505</v>
      </c>
    </row>
    <row r="139" spans="1:2" ht="14.5" x14ac:dyDescent="0.25">
      <c r="A139" s="18" t="s">
        <v>1472</v>
      </c>
      <c r="B139" s="18" t="s">
        <v>1471</v>
      </c>
    </row>
    <row r="140" spans="1:2" ht="14.5" x14ac:dyDescent="0.25">
      <c r="A140" s="18" t="s">
        <v>1544</v>
      </c>
      <c r="B140" s="18" t="s">
        <v>1543</v>
      </c>
    </row>
    <row r="141" spans="1:2" ht="14.5" x14ac:dyDescent="0.25">
      <c r="A141" s="18" t="s">
        <v>1552</v>
      </c>
      <c r="B141" s="18" t="s">
        <v>1551</v>
      </c>
    </row>
    <row r="142" spans="1:2" ht="14.5" x14ac:dyDescent="0.25">
      <c r="A142" s="18" t="s">
        <v>1640</v>
      </c>
      <c r="B142" s="18" t="s">
        <v>1639</v>
      </c>
    </row>
    <row r="143" spans="1:2" ht="14.5" x14ac:dyDescent="0.25">
      <c r="A143" s="18" t="s">
        <v>1790</v>
      </c>
      <c r="B143" s="18" t="s">
        <v>1789</v>
      </c>
    </row>
    <row r="144" spans="1:2" ht="14.5" x14ac:dyDescent="0.25">
      <c r="A144" s="18" t="s">
        <v>1656</v>
      </c>
      <c r="B144" s="18" t="s">
        <v>1655</v>
      </c>
    </row>
    <row r="145" spans="1:2" ht="14.5" x14ac:dyDescent="0.25">
      <c r="A145" s="18" t="s">
        <v>1470</v>
      </c>
      <c r="B145" s="18" t="s">
        <v>1469</v>
      </c>
    </row>
    <row r="146" spans="1:2" ht="14.5" x14ac:dyDescent="0.25">
      <c r="A146" s="18" t="s">
        <v>1774</v>
      </c>
      <c r="B146" s="18" t="s">
        <v>1773</v>
      </c>
    </row>
    <row r="147" spans="1:2" ht="14.5" x14ac:dyDescent="0.25">
      <c r="A147" s="18" t="s">
        <v>1514</v>
      </c>
      <c r="B147" s="18" t="s">
        <v>1513</v>
      </c>
    </row>
    <row r="148" spans="1:2" ht="14.5" x14ac:dyDescent="0.25">
      <c r="A148" s="18" t="s">
        <v>1370</v>
      </c>
      <c r="B148" s="18" t="s">
        <v>1369</v>
      </c>
    </row>
    <row r="149" spans="1:2" x14ac:dyDescent="0.25">
      <c r="A149" s="4" t="s">
        <v>1502</v>
      </c>
      <c r="B149" s="4" t="s">
        <v>1501</v>
      </c>
    </row>
    <row r="150" spans="1:2" x14ac:dyDescent="0.25">
      <c r="A150" s="4" t="s">
        <v>1586</v>
      </c>
      <c r="B150" s="4" t="s">
        <v>1585</v>
      </c>
    </row>
    <row r="151" spans="1:2" x14ac:dyDescent="0.25">
      <c r="A151" s="4" t="s">
        <v>1772</v>
      </c>
      <c r="B151" s="4" t="s">
        <v>1771</v>
      </c>
    </row>
    <row r="152" spans="1:2" x14ac:dyDescent="0.25">
      <c r="A152" s="4" t="s">
        <v>1602</v>
      </c>
      <c r="B152" s="4" t="s">
        <v>1601</v>
      </c>
    </row>
    <row r="153" spans="1:2" x14ac:dyDescent="0.25">
      <c r="A153" s="4" t="s">
        <v>1374</v>
      </c>
      <c r="B153" s="4" t="s">
        <v>1373</v>
      </c>
    </row>
    <row r="154" spans="1:2" x14ac:dyDescent="0.25">
      <c r="A154" s="4" t="s">
        <v>1508</v>
      </c>
      <c r="B154" s="4" t="s">
        <v>1507</v>
      </c>
    </row>
    <row r="155" spans="1:2" x14ac:dyDescent="0.25">
      <c r="A155" s="4" t="s">
        <v>1354</v>
      </c>
      <c r="B155" s="4" t="s">
        <v>1353</v>
      </c>
    </row>
    <row r="156" spans="1:2" x14ac:dyDescent="0.25">
      <c r="A156" s="4" t="s">
        <v>1592</v>
      </c>
      <c r="B156" s="4" t="s">
        <v>1591</v>
      </c>
    </row>
    <row r="157" spans="1:2" x14ac:dyDescent="0.25">
      <c r="A157" s="4" t="s">
        <v>1644</v>
      </c>
      <c r="B157" s="4" t="s">
        <v>1643</v>
      </c>
    </row>
    <row r="158" spans="1:2" x14ac:dyDescent="0.25">
      <c r="A158" s="4" t="s">
        <v>1468</v>
      </c>
      <c r="B158" s="4" t="s">
        <v>1467</v>
      </c>
    </row>
    <row r="159" spans="1:2" x14ac:dyDescent="0.25">
      <c r="A159" s="4" t="s">
        <v>1716</v>
      </c>
      <c r="B159" s="4" t="s">
        <v>1715</v>
      </c>
    </row>
    <row r="160" spans="1:2" x14ac:dyDescent="0.25">
      <c r="A160" s="4" t="s">
        <v>1460</v>
      </c>
      <c r="B160" s="4" t="s">
        <v>1459</v>
      </c>
    </row>
    <row r="161" spans="1:2" x14ac:dyDescent="0.25">
      <c r="A161" s="4" t="s">
        <v>1600</v>
      </c>
      <c r="B161" s="4" t="s">
        <v>1599</v>
      </c>
    </row>
    <row r="162" spans="1:2" x14ac:dyDescent="0.25">
      <c r="A162" s="4" t="s">
        <v>1546</v>
      </c>
      <c r="B162" s="4" t="s">
        <v>1545</v>
      </c>
    </row>
    <row r="163" spans="1:2" x14ac:dyDescent="0.25">
      <c r="A163" s="4" t="s">
        <v>1648</v>
      </c>
      <c r="B163" s="4" t="s">
        <v>1647</v>
      </c>
    </row>
    <row r="164" spans="1:2" x14ac:dyDescent="0.25">
      <c r="A164" s="4" t="s">
        <v>1714</v>
      </c>
      <c r="B164" s="4" t="s">
        <v>1713</v>
      </c>
    </row>
    <row r="165" spans="1:2" x14ac:dyDescent="0.25">
      <c r="A165" s="4" t="s">
        <v>1734</v>
      </c>
      <c r="B165" s="4" t="s">
        <v>1733</v>
      </c>
    </row>
    <row r="166" spans="1:2" x14ac:dyDescent="0.25">
      <c r="A166" s="4" t="s">
        <v>1556</v>
      </c>
      <c r="B166" s="4" t="s">
        <v>1555</v>
      </c>
    </row>
    <row r="167" spans="1:2" x14ac:dyDescent="0.25">
      <c r="A167" s="4" t="s">
        <v>1784</v>
      </c>
      <c r="B167" s="4" t="s">
        <v>1783</v>
      </c>
    </row>
    <row r="168" spans="1:2" x14ac:dyDescent="0.25">
      <c r="A168" s="4" t="s">
        <v>1524</v>
      </c>
      <c r="B168" s="4" t="s">
        <v>1523</v>
      </c>
    </row>
    <row r="169" spans="1:2" x14ac:dyDescent="0.25">
      <c r="A169" s="4" t="s">
        <v>1498</v>
      </c>
      <c r="B169" s="4" t="s">
        <v>1497</v>
      </c>
    </row>
    <row r="170" spans="1:2" x14ac:dyDescent="0.25">
      <c r="A170" s="4" t="s">
        <v>1622</v>
      </c>
      <c r="B170" s="4" t="s">
        <v>1621</v>
      </c>
    </row>
    <row r="171" spans="1:2" x14ac:dyDescent="0.25">
      <c r="A171" s="4" t="s">
        <v>1566</v>
      </c>
      <c r="B171" s="4" t="s">
        <v>1565</v>
      </c>
    </row>
    <row r="172" spans="1:2" x14ac:dyDescent="0.25">
      <c r="A172" s="4" t="s">
        <v>1646</v>
      </c>
      <c r="B172" s="4" t="s">
        <v>1645</v>
      </c>
    </row>
    <row r="173" spans="1:2" x14ac:dyDescent="0.25">
      <c r="A173" s="4" t="s">
        <v>1638</v>
      </c>
      <c r="B173" s="4" t="s">
        <v>1637</v>
      </c>
    </row>
    <row r="174" spans="1:2" x14ac:dyDescent="0.25">
      <c r="A174" s="4" t="s">
        <v>1558</v>
      </c>
      <c r="B174" s="4" t="s">
        <v>1557</v>
      </c>
    </row>
    <row r="175" spans="1:2" x14ac:dyDescent="0.25">
      <c r="A175" s="4" t="s">
        <v>1504</v>
      </c>
      <c r="B175" s="4" t="s">
        <v>1503</v>
      </c>
    </row>
    <row r="176" spans="1:2" x14ac:dyDescent="0.25">
      <c r="A176" s="4" t="s">
        <v>1584</v>
      </c>
      <c r="B176" s="4" t="s">
        <v>1583</v>
      </c>
    </row>
    <row r="177" spans="1:2" x14ac:dyDescent="0.25">
      <c r="A177" s="4" t="s">
        <v>1742</v>
      </c>
      <c r="B177" s="4" t="s">
        <v>1741</v>
      </c>
    </row>
    <row r="178" spans="1:2" x14ac:dyDescent="0.25">
      <c r="A178" s="4" t="s">
        <v>1564</v>
      </c>
      <c r="B178" s="4" t="s">
        <v>1563</v>
      </c>
    </row>
    <row r="179" spans="1:2" x14ac:dyDescent="0.25">
      <c r="A179" s="4" t="s">
        <v>1562</v>
      </c>
      <c r="B179" s="4" t="s">
        <v>1561</v>
      </c>
    </row>
    <row r="180" spans="1:2" x14ac:dyDescent="0.25">
      <c r="A180" s="4" t="s">
        <v>1482</v>
      </c>
      <c r="B180" s="4" t="s">
        <v>1481</v>
      </c>
    </row>
    <row r="181" spans="1:2" x14ac:dyDescent="0.25">
      <c r="A181" s="4" t="s">
        <v>1740</v>
      </c>
      <c r="B181" s="4" t="s">
        <v>1739</v>
      </c>
    </row>
    <row r="182" spans="1:2" x14ac:dyDescent="0.25">
      <c r="A182" s="4" t="s">
        <v>1534</v>
      </c>
      <c r="B182" s="4" t="s">
        <v>1533</v>
      </c>
    </row>
    <row r="183" spans="1:2" x14ac:dyDescent="0.25">
      <c r="A183" s="4" t="s">
        <v>1560</v>
      </c>
      <c r="B183" s="4" t="s">
        <v>1559</v>
      </c>
    </row>
    <row r="184" spans="1:2" x14ac:dyDescent="0.25">
      <c r="A184" s="4" t="s">
        <v>1550</v>
      </c>
      <c r="B184" s="4" t="s">
        <v>1549</v>
      </c>
    </row>
    <row r="185" spans="1:2" x14ac:dyDescent="0.25">
      <c r="A185" s="4" t="s">
        <v>1542</v>
      </c>
      <c r="B185" s="4" t="s">
        <v>1541</v>
      </c>
    </row>
    <row r="186" spans="1:2" x14ac:dyDescent="0.25">
      <c r="A186" s="4" t="s">
        <v>1532</v>
      </c>
      <c r="B186" s="4" t="s">
        <v>1531</v>
      </c>
    </row>
    <row r="187" spans="1:2" x14ac:dyDescent="0.25">
      <c r="A187" s="377" t="s">
        <v>2078</v>
      </c>
      <c r="B187" s="377" t="s">
        <v>2079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52911-11E7-4F23-B33A-AF08C8AD9C94}">
  <sheetPr>
    <tabColor theme="7" tint="0.59999389629810485"/>
  </sheetPr>
  <dimension ref="A1:E449"/>
  <sheetViews>
    <sheetView topLeftCell="A432" workbookViewId="0"/>
  </sheetViews>
  <sheetFormatPr defaultColWidth="153.54296875" defaultRowHeight="14.5" x14ac:dyDescent="0.35"/>
  <cols>
    <col min="1" max="1" width="12.1796875" style="36" bestFit="1" customWidth="1"/>
    <col min="2" max="2" width="48.54296875" style="36" bestFit="1" customWidth="1"/>
    <col min="3" max="3" width="5.1796875" style="36" bestFit="1" customWidth="1"/>
    <col min="4" max="4" width="17.54296875" style="36" bestFit="1" customWidth="1"/>
    <col min="5" max="5" width="54.26953125" style="36" bestFit="1" customWidth="1"/>
    <col min="6" max="16384" width="153.54296875" style="36"/>
  </cols>
  <sheetData>
    <row r="1" spans="1:5" x14ac:dyDescent="0.35">
      <c r="A1" s="56" t="s">
        <v>387</v>
      </c>
      <c r="B1" s="56" t="s">
        <v>388</v>
      </c>
      <c r="C1" s="56" t="s">
        <v>389</v>
      </c>
      <c r="D1" s="56" t="s">
        <v>390</v>
      </c>
      <c r="E1" s="56" t="s">
        <v>391</v>
      </c>
    </row>
    <row r="2" spans="1:5" x14ac:dyDescent="0.35">
      <c r="A2" s="57" t="s">
        <v>392</v>
      </c>
      <c r="B2" s="57" t="s">
        <v>393</v>
      </c>
      <c r="C2" s="57" t="s">
        <v>394</v>
      </c>
      <c r="D2" s="57" t="s">
        <v>275</v>
      </c>
      <c r="E2" s="57" t="s">
        <v>179</v>
      </c>
    </row>
    <row r="3" spans="1:5" x14ac:dyDescent="0.35">
      <c r="A3" s="57" t="s">
        <v>395</v>
      </c>
      <c r="B3" s="57" t="s">
        <v>396</v>
      </c>
      <c r="C3" s="57" t="s">
        <v>394</v>
      </c>
      <c r="D3" s="57" t="s">
        <v>275</v>
      </c>
      <c r="E3" s="57" t="s">
        <v>397</v>
      </c>
    </row>
    <row r="4" spans="1:5" x14ac:dyDescent="0.35">
      <c r="A4" s="57" t="s">
        <v>398</v>
      </c>
      <c r="B4" s="57" t="s">
        <v>399</v>
      </c>
      <c r="C4" s="57" t="s">
        <v>394</v>
      </c>
      <c r="D4" s="57" t="s">
        <v>275</v>
      </c>
      <c r="E4" s="57" t="s">
        <v>179</v>
      </c>
    </row>
    <row r="5" spans="1:5" x14ac:dyDescent="0.35">
      <c r="A5" s="57" t="s">
        <v>400</v>
      </c>
      <c r="B5" s="57" t="s">
        <v>399</v>
      </c>
      <c r="C5" s="57" t="s">
        <v>394</v>
      </c>
      <c r="D5" s="57" t="s">
        <v>275</v>
      </c>
      <c r="E5" s="57" t="s">
        <v>179</v>
      </c>
    </row>
    <row r="6" spans="1:5" x14ac:dyDescent="0.35">
      <c r="A6" s="57" t="s">
        <v>401</v>
      </c>
      <c r="B6" s="57" t="s">
        <v>399</v>
      </c>
      <c r="C6" s="57" t="s">
        <v>394</v>
      </c>
      <c r="D6" s="57" t="s">
        <v>275</v>
      </c>
      <c r="E6" s="57" t="s">
        <v>397</v>
      </c>
    </row>
    <row r="7" spans="1:5" x14ac:dyDescent="0.35">
      <c r="A7" s="57" t="s">
        <v>402</v>
      </c>
      <c r="B7" s="57" t="s">
        <v>403</v>
      </c>
      <c r="C7" s="57" t="s">
        <v>394</v>
      </c>
      <c r="D7" s="57" t="s">
        <v>275</v>
      </c>
      <c r="E7" s="57" t="s">
        <v>179</v>
      </c>
    </row>
    <row r="8" spans="1:5" x14ac:dyDescent="0.35">
      <c r="A8" s="57" t="s">
        <v>404</v>
      </c>
      <c r="B8" s="57" t="s">
        <v>405</v>
      </c>
      <c r="C8" s="57" t="s">
        <v>394</v>
      </c>
      <c r="D8" s="57" t="s">
        <v>275</v>
      </c>
      <c r="E8" s="57" t="s">
        <v>179</v>
      </c>
    </row>
    <row r="9" spans="1:5" x14ac:dyDescent="0.35">
      <c r="A9" s="57" t="s">
        <v>406</v>
      </c>
      <c r="B9" s="57" t="s">
        <v>407</v>
      </c>
      <c r="C9" s="57" t="s">
        <v>394</v>
      </c>
      <c r="D9" s="57" t="s">
        <v>275</v>
      </c>
      <c r="E9" s="57" t="s">
        <v>179</v>
      </c>
    </row>
    <row r="10" spans="1:5" x14ac:dyDescent="0.35">
      <c r="A10" s="57" t="s">
        <v>408</v>
      </c>
      <c r="B10" s="57" t="s">
        <v>409</v>
      </c>
      <c r="C10" s="57" t="s">
        <v>394</v>
      </c>
      <c r="D10" s="57" t="s">
        <v>275</v>
      </c>
      <c r="E10" s="57" t="s">
        <v>397</v>
      </c>
    </row>
    <row r="11" spans="1:5" x14ac:dyDescent="0.35">
      <c r="A11" s="57" t="s">
        <v>410</v>
      </c>
      <c r="B11" s="57" t="s">
        <v>409</v>
      </c>
      <c r="C11" s="57" t="s">
        <v>394</v>
      </c>
      <c r="D11" s="57" t="s">
        <v>275</v>
      </c>
      <c r="E11" s="57" t="s">
        <v>397</v>
      </c>
    </row>
    <row r="12" spans="1:5" x14ac:dyDescent="0.35">
      <c r="A12" s="57" t="s">
        <v>411</v>
      </c>
      <c r="B12" s="57" t="s">
        <v>412</v>
      </c>
      <c r="C12" s="57" t="s">
        <v>394</v>
      </c>
      <c r="D12" s="57" t="s">
        <v>275</v>
      </c>
      <c r="E12" s="57" t="s">
        <v>179</v>
      </c>
    </row>
    <row r="13" spans="1:5" x14ac:dyDescent="0.35">
      <c r="A13" s="57" t="s">
        <v>413</v>
      </c>
      <c r="B13" s="57" t="s">
        <v>414</v>
      </c>
      <c r="C13" s="57" t="s">
        <v>394</v>
      </c>
      <c r="D13" s="57" t="s">
        <v>275</v>
      </c>
      <c r="E13" s="57" t="s">
        <v>179</v>
      </c>
    </row>
    <row r="14" spans="1:5" x14ac:dyDescent="0.35">
      <c r="A14" s="57" t="s">
        <v>415</v>
      </c>
      <c r="B14" s="57" t="s">
        <v>416</v>
      </c>
      <c r="C14" s="57" t="s">
        <v>394</v>
      </c>
      <c r="D14" s="57" t="s">
        <v>275</v>
      </c>
      <c r="E14" s="57" t="s">
        <v>179</v>
      </c>
    </row>
    <row r="15" spans="1:5" x14ac:dyDescent="0.35">
      <c r="A15" s="57" t="s">
        <v>417</v>
      </c>
      <c r="B15" s="57" t="s">
        <v>418</v>
      </c>
      <c r="C15" s="57" t="s">
        <v>394</v>
      </c>
      <c r="D15" s="57" t="s">
        <v>275</v>
      </c>
      <c r="E15" s="57" t="s">
        <v>179</v>
      </c>
    </row>
    <row r="16" spans="1:5" x14ac:dyDescent="0.35">
      <c r="A16" s="57" t="s">
        <v>419</v>
      </c>
      <c r="B16" s="57" t="s">
        <v>420</v>
      </c>
      <c r="C16" s="57" t="s">
        <v>394</v>
      </c>
      <c r="D16" s="57" t="s">
        <v>275</v>
      </c>
      <c r="E16" s="57" t="s">
        <v>179</v>
      </c>
    </row>
    <row r="17" spans="1:5" x14ac:dyDescent="0.35">
      <c r="A17" s="57" t="s">
        <v>421</v>
      </c>
      <c r="B17" s="57" t="s">
        <v>422</v>
      </c>
      <c r="C17" s="57" t="s">
        <v>394</v>
      </c>
      <c r="D17" s="57" t="s">
        <v>275</v>
      </c>
      <c r="E17" s="57" t="s">
        <v>423</v>
      </c>
    </row>
    <row r="18" spans="1:5" x14ac:dyDescent="0.35">
      <c r="A18" s="57" t="s">
        <v>424</v>
      </c>
      <c r="B18" s="57" t="s">
        <v>425</v>
      </c>
      <c r="C18" s="57" t="s">
        <v>394</v>
      </c>
      <c r="D18" s="57" t="s">
        <v>275</v>
      </c>
      <c r="E18" s="57" t="s">
        <v>179</v>
      </c>
    </row>
    <row r="19" spans="1:5" x14ac:dyDescent="0.35">
      <c r="A19" s="57" t="s">
        <v>426</v>
      </c>
      <c r="B19" s="57" t="s">
        <v>427</v>
      </c>
      <c r="C19" s="57" t="s">
        <v>394</v>
      </c>
      <c r="D19" s="57" t="s">
        <v>275</v>
      </c>
      <c r="E19" s="57" t="s">
        <v>423</v>
      </c>
    </row>
    <row r="20" spans="1:5" x14ac:dyDescent="0.35">
      <c r="A20" s="57" t="s">
        <v>428</v>
      </c>
      <c r="B20" s="57" t="s">
        <v>427</v>
      </c>
      <c r="C20" s="57" t="s">
        <v>394</v>
      </c>
      <c r="D20" s="57" t="s">
        <v>275</v>
      </c>
      <c r="E20" s="57" t="s">
        <v>423</v>
      </c>
    </row>
    <row r="21" spans="1:5" x14ac:dyDescent="0.35">
      <c r="A21" s="57" t="s">
        <v>429</v>
      </c>
      <c r="B21" s="57" t="s">
        <v>430</v>
      </c>
      <c r="C21" s="57" t="s">
        <v>394</v>
      </c>
      <c r="D21" s="57" t="s">
        <v>275</v>
      </c>
      <c r="E21" s="57" t="s">
        <v>397</v>
      </c>
    </row>
    <row r="22" spans="1:5" x14ac:dyDescent="0.35">
      <c r="A22" s="57" t="s">
        <v>431</v>
      </c>
      <c r="B22" s="57" t="s">
        <v>432</v>
      </c>
      <c r="C22" s="57" t="s">
        <v>394</v>
      </c>
      <c r="D22" s="57" t="s">
        <v>275</v>
      </c>
      <c r="E22" s="57" t="s">
        <v>179</v>
      </c>
    </row>
    <row r="23" spans="1:5" x14ac:dyDescent="0.35">
      <c r="A23" s="57" t="s">
        <v>433</v>
      </c>
      <c r="B23" s="57" t="s">
        <v>405</v>
      </c>
      <c r="C23" s="57" t="s">
        <v>394</v>
      </c>
      <c r="D23" s="57" t="s">
        <v>275</v>
      </c>
      <c r="E23" s="57" t="s">
        <v>179</v>
      </c>
    </row>
    <row r="24" spans="1:5" x14ac:dyDescent="0.35">
      <c r="A24" s="57" t="s">
        <v>434</v>
      </c>
      <c r="B24" s="57" t="s">
        <v>435</v>
      </c>
      <c r="C24" s="57" t="s">
        <v>394</v>
      </c>
      <c r="D24" s="57" t="s">
        <v>275</v>
      </c>
      <c r="E24" s="57" t="s">
        <v>179</v>
      </c>
    </row>
    <row r="25" spans="1:5" x14ac:dyDescent="0.35">
      <c r="A25" s="57" t="s">
        <v>436</v>
      </c>
      <c r="B25" s="57" t="s">
        <v>437</v>
      </c>
      <c r="C25" s="57" t="s">
        <v>394</v>
      </c>
      <c r="D25" s="57" t="s">
        <v>275</v>
      </c>
      <c r="E25" s="57" t="s">
        <v>179</v>
      </c>
    </row>
    <row r="26" spans="1:5" x14ac:dyDescent="0.35">
      <c r="A26" s="57" t="s">
        <v>438</v>
      </c>
      <c r="B26" s="57" t="s">
        <v>439</v>
      </c>
      <c r="C26" s="57" t="s">
        <v>394</v>
      </c>
      <c r="D26" s="57" t="s">
        <v>275</v>
      </c>
      <c r="E26" s="57" t="s">
        <v>423</v>
      </c>
    </row>
    <row r="27" spans="1:5" x14ac:dyDescent="0.35">
      <c r="A27" s="57" t="s">
        <v>440</v>
      </c>
      <c r="B27" s="57" t="s">
        <v>441</v>
      </c>
      <c r="C27" s="57" t="s">
        <v>394</v>
      </c>
      <c r="D27" s="57" t="s">
        <v>275</v>
      </c>
      <c r="E27" s="57" t="s">
        <v>397</v>
      </c>
    </row>
    <row r="28" spans="1:5" x14ac:dyDescent="0.35">
      <c r="A28" s="57" t="s">
        <v>442</v>
      </c>
      <c r="B28" s="57" t="s">
        <v>443</v>
      </c>
      <c r="C28" s="57" t="s">
        <v>394</v>
      </c>
      <c r="D28" s="57" t="s">
        <v>131</v>
      </c>
      <c r="E28" s="57" t="s">
        <v>444</v>
      </c>
    </row>
    <row r="29" spans="1:5" x14ac:dyDescent="0.35">
      <c r="A29" s="57" t="s">
        <v>445</v>
      </c>
      <c r="B29" s="57" t="s">
        <v>446</v>
      </c>
      <c r="C29" s="57" t="s">
        <v>394</v>
      </c>
      <c r="D29" s="57" t="s">
        <v>285</v>
      </c>
      <c r="E29" s="57" t="s">
        <v>179</v>
      </c>
    </row>
    <row r="30" spans="1:5" x14ac:dyDescent="0.35">
      <c r="A30" s="57" t="s">
        <v>447</v>
      </c>
      <c r="B30" s="57" t="s">
        <v>448</v>
      </c>
      <c r="C30" s="57" t="s">
        <v>394</v>
      </c>
      <c r="D30" s="57" t="s">
        <v>285</v>
      </c>
      <c r="E30" s="57" t="s">
        <v>179</v>
      </c>
    </row>
    <row r="31" spans="1:5" x14ac:dyDescent="0.35">
      <c r="A31" s="57" t="s">
        <v>449</v>
      </c>
      <c r="B31" s="57" t="s">
        <v>450</v>
      </c>
      <c r="C31" s="57" t="s">
        <v>394</v>
      </c>
      <c r="D31" s="57" t="s">
        <v>285</v>
      </c>
      <c r="E31" s="57" t="s">
        <v>397</v>
      </c>
    </row>
    <row r="32" spans="1:5" x14ac:dyDescent="0.35">
      <c r="A32" s="57" t="s">
        <v>451</v>
      </c>
      <c r="B32" s="57" t="s">
        <v>452</v>
      </c>
      <c r="C32" s="57" t="s">
        <v>394</v>
      </c>
      <c r="D32" s="57" t="s">
        <v>285</v>
      </c>
      <c r="E32" s="57" t="s">
        <v>397</v>
      </c>
    </row>
    <row r="33" spans="1:5" x14ac:dyDescent="0.35">
      <c r="A33" s="57" t="s">
        <v>453</v>
      </c>
      <c r="B33" s="57" t="s">
        <v>454</v>
      </c>
      <c r="C33" s="57" t="s">
        <v>394</v>
      </c>
      <c r="D33" s="57" t="s">
        <v>285</v>
      </c>
      <c r="E33" s="57" t="s">
        <v>179</v>
      </c>
    </row>
    <row r="34" spans="1:5" x14ac:dyDescent="0.35">
      <c r="A34" s="57" t="s">
        <v>455</v>
      </c>
      <c r="B34" s="57" t="s">
        <v>454</v>
      </c>
      <c r="C34" s="57" t="s">
        <v>394</v>
      </c>
      <c r="D34" s="57" t="s">
        <v>285</v>
      </c>
      <c r="E34" s="57" t="s">
        <v>179</v>
      </c>
    </row>
    <row r="35" spans="1:5" x14ac:dyDescent="0.35">
      <c r="A35" s="57" t="s">
        <v>456</v>
      </c>
      <c r="B35" s="57" t="s">
        <v>457</v>
      </c>
      <c r="C35" s="57" t="s">
        <v>394</v>
      </c>
      <c r="D35" s="57" t="s">
        <v>285</v>
      </c>
      <c r="E35" s="57" t="s">
        <v>179</v>
      </c>
    </row>
    <row r="36" spans="1:5" x14ac:dyDescent="0.35">
      <c r="A36" s="57" t="s">
        <v>458</v>
      </c>
      <c r="B36" s="57" t="s">
        <v>459</v>
      </c>
      <c r="C36" s="57" t="s">
        <v>394</v>
      </c>
      <c r="D36" s="57" t="s">
        <v>285</v>
      </c>
      <c r="E36" s="57" t="s">
        <v>179</v>
      </c>
    </row>
    <row r="37" spans="1:5" x14ac:dyDescent="0.35">
      <c r="A37" s="57" t="s">
        <v>460</v>
      </c>
      <c r="B37" s="57" t="s">
        <v>459</v>
      </c>
      <c r="C37" s="57" t="s">
        <v>394</v>
      </c>
      <c r="D37" s="57" t="s">
        <v>285</v>
      </c>
      <c r="E37" s="57" t="s">
        <v>179</v>
      </c>
    </row>
    <row r="38" spans="1:5" x14ac:dyDescent="0.35">
      <c r="A38" s="57" t="s">
        <v>461</v>
      </c>
      <c r="B38" s="57" t="s">
        <v>462</v>
      </c>
      <c r="C38" s="57" t="s">
        <v>394</v>
      </c>
      <c r="D38" s="57" t="s">
        <v>285</v>
      </c>
      <c r="E38" s="57" t="s">
        <v>179</v>
      </c>
    </row>
    <row r="39" spans="1:5" x14ac:dyDescent="0.35">
      <c r="A39" s="57" t="s">
        <v>463</v>
      </c>
      <c r="B39" s="57" t="s">
        <v>464</v>
      </c>
      <c r="C39" s="57" t="s">
        <v>394</v>
      </c>
      <c r="D39" s="57" t="s">
        <v>285</v>
      </c>
      <c r="E39" s="57" t="s">
        <v>465</v>
      </c>
    </row>
    <row r="40" spans="1:5" x14ac:dyDescent="0.35">
      <c r="A40" s="57" t="s">
        <v>466</v>
      </c>
      <c r="B40" s="57" t="s">
        <v>464</v>
      </c>
      <c r="C40" s="57" t="s">
        <v>394</v>
      </c>
      <c r="D40" s="57" t="s">
        <v>285</v>
      </c>
      <c r="E40" s="57" t="s">
        <v>467</v>
      </c>
    </row>
    <row r="41" spans="1:5" x14ac:dyDescent="0.35">
      <c r="A41" s="57" t="s">
        <v>468</v>
      </c>
      <c r="B41" s="57" t="s">
        <v>469</v>
      </c>
      <c r="C41" s="57" t="s">
        <v>394</v>
      </c>
      <c r="D41" s="57" t="s">
        <v>285</v>
      </c>
      <c r="E41" s="57" t="s">
        <v>179</v>
      </c>
    </row>
    <row r="42" spans="1:5" x14ac:dyDescent="0.35">
      <c r="A42" s="57" t="s">
        <v>470</v>
      </c>
      <c r="B42" s="57" t="s">
        <v>471</v>
      </c>
      <c r="C42" s="57" t="s">
        <v>394</v>
      </c>
      <c r="D42" s="57" t="s">
        <v>285</v>
      </c>
      <c r="E42" s="57" t="s">
        <v>397</v>
      </c>
    </row>
    <row r="43" spans="1:5" x14ac:dyDescent="0.35">
      <c r="A43" s="57" t="s">
        <v>472</v>
      </c>
      <c r="B43" s="57" t="s">
        <v>473</v>
      </c>
      <c r="C43" s="57" t="s">
        <v>394</v>
      </c>
      <c r="D43" s="57" t="s">
        <v>285</v>
      </c>
      <c r="E43" s="57" t="s">
        <v>423</v>
      </c>
    </row>
    <row r="44" spans="1:5" x14ac:dyDescent="0.35">
      <c r="A44" s="57" t="s">
        <v>474</v>
      </c>
      <c r="B44" s="57" t="s">
        <v>475</v>
      </c>
      <c r="C44" s="57" t="s">
        <v>394</v>
      </c>
      <c r="D44" s="57" t="s">
        <v>285</v>
      </c>
      <c r="E44" s="57" t="s">
        <v>397</v>
      </c>
    </row>
    <row r="45" spans="1:5" x14ac:dyDescent="0.35">
      <c r="A45" s="57" t="s">
        <v>476</v>
      </c>
      <c r="B45" s="57" t="s">
        <v>477</v>
      </c>
      <c r="C45" s="57" t="s">
        <v>394</v>
      </c>
      <c r="D45" s="57" t="s">
        <v>285</v>
      </c>
      <c r="E45" s="57" t="s">
        <v>478</v>
      </c>
    </row>
    <row r="46" spans="1:5" x14ac:dyDescent="0.35">
      <c r="A46" s="57" t="s">
        <v>479</v>
      </c>
      <c r="B46" s="57" t="s">
        <v>477</v>
      </c>
      <c r="C46" s="57" t="s">
        <v>394</v>
      </c>
      <c r="D46" s="57" t="s">
        <v>285</v>
      </c>
      <c r="E46" s="57" t="s">
        <v>480</v>
      </c>
    </row>
    <row r="47" spans="1:5" x14ac:dyDescent="0.35">
      <c r="A47" s="57" t="s">
        <v>481</v>
      </c>
      <c r="B47" s="57" t="s">
        <v>482</v>
      </c>
      <c r="C47" s="57" t="s">
        <v>394</v>
      </c>
      <c r="D47" s="57" t="s">
        <v>285</v>
      </c>
      <c r="E47" s="57" t="s">
        <v>423</v>
      </c>
    </row>
    <row r="48" spans="1:5" x14ac:dyDescent="0.35">
      <c r="A48" s="57" t="s">
        <v>483</v>
      </c>
      <c r="B48" s="57" t="s">
        <v>482</v>
      </c>
      <c r="C48" s="57" t="s">
        <v>394</v>
      </c>
      <c r="D48" s="57" t="s">
        <v>285</v>
      </c>
      <c r="E48" s="57" t="s">
        <v>480</v>
      </c>
    </row>
    <row r="49" spans="1:5" x14ac:dyDescent="0.35">
      <c r="A49" s="57" t="s">
        <v>484</v>
      </c>
      <c r="B49" s="57" t="s">
        <v>485</v>
      </c>
      <c r="C49" s="57" t="s">
        <v>394</v>
      </c>
      <c r="D49" s="57" t="s">
        <v>285</v>
      </c>
      <c r="E49" s="57" t="s">
        <v>397</v>
      </c>
    </row>
    <row r="50" spans="1:5" x14ac:dyDescent="0.35">
      <c r="A50" s="57" t="s">
        <v>486</v>
      </c>
      <c r="B50" s="57" t="s">
        <v>485</v>
      </c>
      <c r="C50" s="57" t="s">
        <v>394</v>
      </c>
      <c r="D50" s="57" t="s">
        <v>285</v>
      </c>
      <c r="E50" s="57" t="s">
        <v>487</v>
      </c>
    </row>
    <row r="51" spans="1:5" x14ac:dyDescent="0.35">
      <c r="A51" s="57" t="s">
        <v>488</v>
      </c>
      <c r="B51" s="57" t="s">
        <v>489</v>
      </c>
      <c r="C51" s="57" t="s">
        <v>394</v>
      </c>
      <c r="D51" s="57" t="s">
        <v>285</v>
      </c>
      <c r="E51" s="57" t="s">
        <v>490</v>
      </c>
    </row>
    <row r="52" spans="1:5" x14ac:dyDescent="0.35">
      <c r="A52" s="57" t="s">
        <v>491</v>
      </c>
      <c r="B52" s="57" t="s">
        <v>492</v>
      </c>
      <c r="C52" s="57" t="s">
        <v>394</v>
      </c>
      <c r="D52" s="57" t="s">
        <v>285</v>
      </c>
      <c r="E52" s="57" t="s">
        <v>423</v>
      </c>
    </row>
    <row r="53" spans="1:5" x14ac:dyDescent="0.35">
      <c r="A53" s="57" t="s">
        <v>493</v>
      </c>
      <c r="B53" s="57" t="s">
        <v>494</v>
      </c>
      <c r="C53" s="57" t="s">
        <v>394</v>
      </c>
      <c r="D53" s="57" t="s">
        <v>285</v>
      </c>
      <c r="E53" s="57" t="s">
        <v>423</v>
      </c>
    </row>
    <row r="54" spans="1:5" x14ac:dyDescent="0.35">
      <c r="A54" s="57" t="s">
        <v>495</v>
      </c>
      <c r="B54" s="57" t="s">
        <v>496</v>
      </c>
      <c r="C54" s="57" t="s">
        <v>394</v>
      </c>
      <c r="D54" s="57" t="s">
        <v>285</v>
      </c>
      <c r="E54" s="57" t="s">
        <v>179</v>
      </c>
    </row>
    <row r="55" spans="1:5" x14ac:dyDescent="0.35">
      <c r="A55" s="57" t="s">
        <v>497</v>
      </c>
      <c r="B55" s="57" t="s">
        <v>498</v>
      </c>
      <c r="C55" s="57" t="s">
        <v>394</v>
      </c>
      <c r="D55" s="57" t="s">
        <v>285</v>
      </c>
      <c r="E55" s="57" t="s">
        <v>179</v>
      </c>
    </row>
    <row r="56" spans="1:5" x14ac:dyDescent="0.35">
      <c r="A56" s="57" t="s">
        <v>499</v>
      </c>
      <c r="B56" s="57" t="s">
        <v>500</v>
      </c>
      <c r="C56" s="57" t="s">
        <v>394</v>
      </c>
      <c r="D56" s="57" t="s">
        <v>285</v>
      </c>
      <c r="E56" s="57" t="s">
        <v>423</v>
      </c>
    </row>
    <row r="57" spans="1:5" x14ac:dyDescent="0.35">
      <c r="A57" s="57" t="s">
        <v>501</v>
      </c>
      <c r="B57" s="57" t="s">
        <v>502</v>
      </c>
      <c r="C57" s="57" t="s">
        <v>394</v>
      </c>
      <c r="D57" s="57" t="s">
        <v>285</v>
      </c>
      <c r="E57" s="57" t="s">
        <v>423</v>
      </c>
    </row>
    <row r="58" spans="1:5" x14ac:dyDescent="0.35">
      <c r="A58" s="57" t="s">
        <v>503</v>
      </c>
      <c r="B58" s="57" t="s">
        <v>504</v>
      </c>
      <c r="C58" s="57" t="s">
        <v>394</v>
      </c>
      <c r="D58" s="57" t="s">
        <v>285</v>
      </c>
      <c r="E58" s="57" t="s">
        <v>505</v>
      </c>
    </row>
    <row r="59" spans="1:5" x14ac:dyDescent="0.35">
      <c r="A59" s="57" t="s">
        <v>506</v>
      </c>
      <c r="B59" s="57" t="s">
        <v>507</v>
      </c>
      <c r="C59" s="57" t="s">
        <v>394</v>
      </c>
      <c r="D59" s="57" t="s">
        <v>285</v>
      </c>
      <c r="E59" s="57" t="s">
        <v>508</v>
      </c>
    </row>
    <row r="60" spans="1:5" x14ac:dyDescent="0.35">
      <c r="A60" s="57" t="s">
        <v>509</v>
      </c>
      <c r="B60" s="57" t="s">
        <v>507</v>
      </c>
      <c r="C60" s="57" t="s">
        <v>394</v>
      </c>
      <c r="D60" s="57" t="s">
        <v>285</v>
      </c>
      <c r="E60" s="57" t="s">
        <v>508</v>
      </c>
    </row>
    <row r="61" spans="1:5" x14ac:dyDescent="0.35">
      <c r="A61" s="57" t="s">
        <v>510</v>
      </c>
      <c r="B61" s="57" t="s">
        <v>511</v>
      </c>
      <c r="C61" s="57" t="s">
        <v>394</v>
      </c>
      <c r="D61" s="57" t="s">
        <v>285</v>
      </c>
      <c r="E61" s="57" t="s">
        <v>423</v>
      </c>
    </row>
    <row r="62" spans="1:5" x14ac:dyDescent="0.35">
      <c r="A62" s="57" t="s">
        <v>512</v>
      </c>
      <c r="B62" s="57" t="s">
        <v>511</v>
      </c>
      <c r="C62" s="57" t="s">
        <v>394</v>
      </c>
      <c r="D62" s="57" t="s">
        <v>285</v>
      </c>
      <c r="E62" s="57" t="s">
        <v>480</v>
      </c>
    </row>
    <row r="63" spans="1:5" x14ac:dyDescent="0.35">
      <c r="A63" s="57" t="s">
        <v>513</v>
      </c>
      <c r="B63" s="57" t="s">
        <v>514</v>
      </c>
      <c r="C63" s="57" t="s">
        <v>394</v>
      </c>
      <c r="D63" s="57" t="s">
        <v>285</v>
      </c>
      <c r="E63" s="57" t="s">
        <v>179</v>
      </c>
    </row>
    <row r="64" spans="1:5" x14ac:dyDescent="0.35">
      <c r="A64" s="57" t="s">
        <v>515</v>
      </c>
      <c r="B64" s="57" t="s">
        <v>516</v>
      </c>
      <c r="C64" s="57" t="s">
        <v>394</v>
      </c>
      <c r="D64" s="57" t="s">
        <v>285</v>
      </c>
      <c r="E64" s="57" t="s">
        <v>423</v>
      </c>
    </row>
    <row r="65" spans="1:5" x14ac:dyDescent="0.35">
      <c r="A65" s="57" t="s">
        <v>517</v>
      </c>
      <c r="B65" s="57" t="s">
        <v>518</v>
      </c>
      <c r="C65" s="57" t="s">
        <v>394</v>
      </c>
      <c r="D65" s="57" t="s">
        <v>285</v>
      </c>
      <c r="E65" s="57" t="s">
        <v>423</v>
      </c>
    </row>
    <row r="66" spans="1:5" x14ac:dyDescent="0.35">
      <c r="A66" s="57" t="s">
        <v>519</v>
      </c>
      <c r="B66" s="57" t="s">
        <v>520</v>
      </c>
      <c r="C66" s="57" t="s">
        <v>394</v>
      </c>
      <c r="D66" s="57" t="s">
        <v>285</v>
      </c>
      <c r="E66" s="57" t="s">
        <v>423</v>
      </c>
    </row>
    <row r="67" spans="1:5" x14ac:dyDescent="0.35">
      <c r="A67" s="57" t="s">
        <v>521</v>
      </c>
      <c r="B67" s="57" t="s">
        <v>522</v>
      </c>
      <c r="C67" s="57" t="s">
        <v>394</v>
      </c>
      <c r="D67" s="57" t="s">
        <v>285</v>
      </c>
      <c r="E67" s="57" t="s">
        <v>423</v>
      </c>
    </row>
    <row r="68" spans="1:5" x14ac:dyDescent="0.35">
      <c r="A68" s="57" t="s">
        <v>523</v>
      </c>
      <c r="B68" s="57" t="s">
        <v>524</v>
      </c>
      <c r="C68" s="57" t="s">
        <v>394</v>
      </c>
      <c r="D68" s="57" t="s">
        <v>285</v>
      </c>
      <c r="E68" s="57" t="s">
        <v>397</v>
      </c>
    </row>
    <row r="69" spans="1:5" x14ac:dyDescent="0.35">
      <c r="A69" s="57" t="s">
        <v>525</v>
      </c>
      <c r="B69" s="57" t="s">
        <v>524</v>
      </c>
      <c r="C69" s="57" t="s">
        <v>394</v>
      </c>
      <c r="D69" s="57" t="s">
        <v>285</v>
      </c>
      <c r="E69" s="57" t="s">
        <v>397</v>
      </c>
    </row>
    <row r="70" spans="1:5" x14ac:dyDescent="0.35">
      <c r="A70" s="57" t="s">
        <v>526</v>
      </c>
      <c r="B70" s="57" t="s">
        <v>527</v>
      </c>
      <c r="C70" s="57" t="s">
        <v>394</v>
      </c>
      <c r="D70" s="57" t="s">
        <v>285</v>
      </c>
      <c r="E70" s="57" t="s">
        <v>528</v>
      </c>
    </row>
    <row r="71" spans="1:5" x14ac:dyDescent="0.35">
      <c r="A71" s="57" t="s">
        <v>529</v>
      </c>
      <c r="B71" s="57" t="s">
        <v>530</v>
      </c>
      <c r="C71" s="57" t="s">
        <v>394</v>
      </c>
      <c r="D71" s="57" t="s">
        <v>285</v>
      </c>
      <c r="E71" s="57" t="s">
        <v>179</v>
      </c>
    </row>
    <row r="72" spans="1:5" x14ac:dyDescent="0.35">
      <c r="A72" s="57" t="s">
        <v>531</v>
      </c>
      <c r="B72" s="57" t="s">
        <v>532</v>
      </c>
      <c r="C72" s="57" t="s">
        <v>394</v>
      </c>
      <c r="D72" s="57" t="s">
        <v>285</v>
      </c>
      <c r="E72" s="57" t="s">
        <v>423</v>
      </c>
    </row>
    <row r="73" spans="1:5" x14ac:dyDescent="0.35">
      <c r="A73" s="57" t="s">
        <v>533</v>
      </c>
      <c r="B73" s="57" t="s">
        <v>534</v>
      </c>
      <c r="C73" s="57" t="s">
        <v>394</v>
      </c>
      <c r="D73" s="57" t="s">
        <v>285</v>
      </c>
      <c r="E73" s="57" t="s">
        <v>423</v>
      </c>
    </row>
    <row r="74" spans="1:5" x14ac:dyDescent="0.35">
      <c r="A74" s="57" t="s">
        <v>535</v>
      </c>
      <c r="B74" s="57" t="s">
        <v>496</v>
      </c>
      <c r="C74" s="57" t="s">
        <v>394</v>
      </c>
      <c r="D74" s="57" t="s">
        <v>285</v>
      </c>
      <c r="E74" s="57" t="s">
        <v>536</v>
      </c>
    </row>
    <row r="75" spans="1:5" x14ac:dyDescent="0.35">
      <c r="A75" s="57" t="s">
        <v>537</v>
      </c>
      <c r="B75" s="57" t="s">
        <v>538</v>
      </c>
      <c r="C75" s="57" t="s">
        <v>394</v>
      </c>
      <c r="D75" s="57" t="s">
        <v>285</v>
      </c>
      <c r="E75" s="57" t="s">
        <v>536</v>
      </c>
    </row>
    <row r="76" spans="1:5" x14ac:dyDescent="0.35">
      <c r="A76" s="57" t="s">
        <v>539</v>
      </c>
      <c r="B76" s="57" t="s">
        <v>540</v>
      </c>
      <c r="C76" s="57" t="s">
        <v>394</v>
      </c>
      <c r="D76" s="57" t="s">
        <v>285</v>
      </c>
      <c r="E76" s="57" t="s">
        <v>536</v>
      </c>
    </row>
    <row r="77" spans="1:5" x14ac:dyDescent="0.35">
      <c r="A77" s="57" t="s">
        <v>541</v>
      </c>
      <c r="B77" s="57" t="s">
        <v>542</v>
      </c>
      <c r="C77" s="57" t="s">
        <v>394</v>
      </c>
      <c r="D77" s="57" t="s">
        <v>285</v>
      </c>
      <c r="E77" s="57" t="s">
        <v>536</v>
      </c>
    </row>
    <row r="78" spans="1:5" x14ac:dyDescent="0.35">
      <c r="A78" s="57" t="s">
        <v>543</v>
      </c>
      <c r="B78" s="57" t="s">
        <v>544</v>
      </c>
      <c r="C78" s="57" t="s">
        <v>394</v>
      </c>
      <c r="D78" s="57" t="s">
        <v>285</v>
      </c>
      <c r="E78" s="57" t="s">
        <v>536</v>
      </c>
    </row>
    <row r="79" spans="1:5" x14ac:dyDescent="0.35">
      <c r="A79" s="57" t="s">
        <v>545</v>
      </c>
      <c r="B79" s="57" t="s">
        <v>546</v>
      </c>
      <c r="C79" s="57" t="s">
        <v>394</v>
      </c>
      <c r="D79" s="57" t="s">
        <v>285</v>
      </c>
      <c r="E79" s="57" t="s">
        <v>536</v>
      </c>
    </row>
    <row r="80" spans="1:5" x14ac:dyDescent="0.35">
      <c r="A80" s="57" t="s">
        <v>547</v>
      </c>
      <c r="B80" s="57" t="s">
        <v>548</v>
      </c>
      <c r="C80" s="57" t="s">
        <v>394</v>
      </c>
      <c r="D80" s="57" t="s">
        <v>285</v>
      </c>
      <c r="E80" s="57" t="s">
        <v>131</v>
      </c>
    </row>
    <row r="81" spans="1:5" x14ac:dyDescent="0.35">
      <c r="A81" s="57" t="s">
        <v>549</v>
      </c>
      <c r="B81" s="57" t="s">
        <v>550</v>
      </c>
      <c r="C81" s="57" t="s">
        <v>394</v>
      </c>
      <c r="D81" s="57" t="s">
        <v>276</v>
      </c>
      <c r="E81" s="57" t="s">
        <v>423</v>
      </c>
    </row>
    <row r="82" spans="1:5" x14ac:dyDescent="0.35">
      <c r="A82" s="57" t="s">
        <v>551</v>
      </c>
      <c r="B82" s="57" t="s">
        <v>552</v>
      </c>
      <c r="C82" s="57" t="s">
        <v>394</v>
      </c>
      <c r="D82" s="57" t="s">
        <v>276</v>
      </c>
      <c r="E82" s="57" t="s">
        <v>179</v>
      </c>
    </row>
    <row r="83" spans="1:5" x14ac:dyDescent="0.35">
      <c r="A83" s="57" t="s">
        <v>553</v>
      </c>
      <c r="B83" s="57" t="s">
        <v>552</v>
      </c>
      <c r="C83" s="57" t="s">
        <v>394</v>
      </c>
      <c r="D83" s="57" t="s">
        <v>276</v>
      </c>
      <c r="E83" s="57" t="s">
        <v>179</v>
      </c>
    </row>
    <row r="84" spans="1:5" x14ac:dyDescent="0.35">
      <c r="A84" s="57" t="s">
        <v>554</v>
      </c>
      <c r="B84" s="57" t="s">
        <v>555</v>
      </c>
      <c r="C84" s="57" t="s">
        <v>394</v>
      </c>
      <c r="D84" s="57" t="s">
        <v>276</v>
      </c>
      <c r="E84" s="57" t="s">
        <v>179</v>
      </c>
    </row>
    <row r="85" spans="1:5" x14ac:dyDescent="0.35">
      <c r="A85" s="57" t="s">
        <v>556</v>
      </c>
      <c r="B85" s="57" t="s">
        <v>557</v>
      </c>
      <c r="C85" s="57" t="s">
        <v>394</v>
      </c>
      <c r="D85" s="57" t="s">
        <v>276</v>
      </c>
      <c r="E85" s="57" t="s">
        <v>179</v>
      </c>
    </row>
    <row r="86" spans="1:5" x14ac:dyDescent="0.35">
      <c r="A86" s="57" t="s">
        <v>558</v>
      </c>
      <c r="B86" s="57" t="s">
        <v>557</v>
      </c>
      <c r="C86" s="57" t="s">
        <v>394</v>
      </c>
      <c r="D86" s="57" t="s">
        <v>276</v>
      </c>
      <c r="E86" s="57" t="s">
        <v>559</v>
      </c>
    </row>
    <row r="87" spans="1:5" x14ac:dyDescent="0.35">
      <c r="A87" s="57" t="s">
        <v>560</v>
      </c>
      <c r="B87" s="57" t="s">
        <v>557</v>
      </c>
      <c r="C87" s="57" t="s">
        <v>394</v>
      </c>
      <c r="D87" s="57" t="s">
        <v>276</v>
      </c>
      <c r="E87" s="57" t="s">
        <v>561</v>
      </c>
    </row>
    <row r="88" spans="1:5" x14ac:dyDescent="0.35">
      <c r="A88" s="57" t="s">
        <v>562</v>
      </c>
      <c r="B88" s="57" t="s">
        <v>557</v>
      </c>
      <c r="C88" s="57" t="s">
        <v>394</v>
      </c>
      <c r="D88" s="57" t="s">
        <v>276</v>
      </c>
      <c r="E88" s="57" t="s">
        <v>563</v>
      </c>
    </row>
    <row r="89" spans="1:5" x14ac:dyDescent="0.35">
      <c r="A89" s="57" t="s">
        <v>564</v>
      </c>
      <c r="B89" s="57" t="s">
        <v>565</v>
      </c>
      <c r="C89" s="57" t="s">
        <v>394</v>
      </c>
      <c r="D89" s="57" t="s">
        <v>276</v>
      </c>
      <c r="E89" s="57" t="s">
        <v>179</v>
      </c>
    </row>
    <row r="90" spans="1:5" x14ac:dyDescent="0.35">
      <c r="A90" s="57" t="s">
        <v>566</v>
      </c>
      <c r="B90" s="57" t="s">
        <v>567</v>
      </c>
      <c r="C90" s="57" t="s">
        <v>394</v>
      </c>
      <c r="D90" s="57" t="s">
        <v>276</v>
      </c>
      <c r="E90" s="57" t="s">
        <v>480</v>
      </c>
    </row>
    <row r="91" spans="1:5" x14ac:dyDescent="0.35">
      <c r="A91" s="57" t="s">
        <v>568</v>
      </c>
      <c r="B91" s="57" t="s">
        <v>567</v>
      </c>
      <c r="C91" s="57" t="s">
        <v>394</v>
      </c>
      <c r="D91" s="57" t="s">
        <v>276</v>
      </c>
      <c r="E91" s="57" t="s">
        <v>480</v>
      </c>
    </row>
    <row r="92" spans="1:5" x14ac:dyDescent="0.35">
      <c r="A92" s="57" t="s">
        <v>569</v>
      </c>
      <c r="B92" s="57" t="s">
        <v>570</v>
      </c>
      <c r="C92" s="57" t="s">
        <v>394</v>
      </c>
      <c r="D92" s="57" t="s">
        <v>276</v>
      </c>
      <c r="E92" s="57" t="s">
        <v>423</v>
      </c>
    </row>
    <row r="93" spans="1:5" x14ac:dyDescent="0.35">
      <c r="A93" s="57" t="s">
        <v>571</v>
      </c>
      <c r="B93" s="57" t="s">
        <v>572</v>
      </c>
      <c r="C93" s="57" t="s">
        <v>394</v>
      </c>
      <c r="D93" s="57" t="s">
        <v>276</v>
      </c>
      <c r="E93" s="57" t="s">
        <v>423</v>
      </c>
    </row>
    <row r="94" spans="1:5" x14ac:dyDescent="0.35">
      <c r="A94" s="57" t="s">
        <v>573</v>
      </c>
      <c r="B94" s="57" t="s">
        <v>572</v>
      </c>
      <c r="C94" s="57" t="s">
        <v>394</v>
      </c>
      <c r="D94" s="57" t="s">
        <v>276</v>
      </c>
      <c r="E94" s="57" t="s">
        <v>480</v>
      </c>
    </row>
    <row r="95" spans="1:5" x14ac:dyDescent="0.35">
      <c r="A95" s="57" t="s">
        <v>574</v>
      </c>
      <c r="B95" s="57" t="s">
        <v>572</v>
      </c>
      <c r="C95" s="57" t="s">
        <v>394</v>
      </c>
      <c r="D95" s="57" t="s">
        <v>276</v>
      </c>
      <c r="E95" s="57" t="s">
        <v>575</v>
      </c>
    </row>
    <row r="96" spans="1:5" x14ac:dyDescent="0.35">
      <c r="A96" s="57" t="s">
        <v>576</v>
      </c>
      <c r="B96" s="57" t="s">
        <v>577</v>
      </c>
      <c r="C96" s="57" t="s">
        <v>394</v>
      </c>
      <c r="D96" s="57" t="s">
        <v>276</v>
      </c>
      <c r="E96" s="57" t="s">
        <v>536</v>
      </c>
    </row>
    <row r="97" spans="1:5" x14ac:dyDescent="0.35">
      <c r="A97" s="57" t="s">
        <v>578</v>
      </c>
      <c r="B97" s="57" t="s">
        <v>579</v>
      </c>
      <c r="C97" s="57" t="s">
        <v>394</v>
      </c>
      <c r="D97" s="57" t="s">
        <v>276</v>
      </c>
      <c r="E97" s="57" t="s">
        <v>536</v>
      </c>
    </row>
    <row r="98" spans="1:5" x14ac:dyDescent="0.35">
      <c r="A98" s="57" t="s">
        <v>580</v>
      </c>
      <c r="B98" s="57" t="s">
        <v>581</v>
      </c>
      <c r="C98" s="57" t="s">
        <v>394</v>
      </c>
      <c r="D98" s="57" t="s">
        <v>276</v>
      </c>
      <c r="E98" s="57" t="s">
        <v>536</v>
      </c>
    </row>
    <row r="99" spans="1:5" x14ac:dyDescent="0.35">
      <c r="A99" s="57" t="s">
        <v>582</v>
      </c>
      <c r="B99" s="57" t="s">
        <v>583</v>
      </c>
      <c r="C99" s="57" t="s">
        <v>394</v>
      </c>
      <c r="D99" s="57" t="s">
        <v>276</v>
      </c>
      <c r="E99" s="57" t="s">
        <v>536</v>
      </c>
    </row>
    <row r="100" spans="1:5" x14ac:dyDescent="0.35">
      <c r="A100" s="57" t="s">
        <v>584</v>
      </c>
      <c r="B100" s="57" t="s">
        <v>585</v>
      </c>
      <c r="C100" s="57" t="s">
        <v>394</v>
      </c>
      <c r="D100" s="57" t="s">
        <v>276</v>
      </c>
      <c r="E100" s="57" t="s">
        <v>536</v>
      </c>
    </row>
    <row r="101" spans="1:5" x14ac:dyDescent="0.35">
      <c r="A101" s="57" t="s">
        <v>586</v>
      </c>
      <c r="B101" s="57" t="s">
        <v>587</v>
      </c>
      <c r="C101" s="57" t="s">
        <v>394</v>
      </c>
      <c r="D101" s="57" t="s">
        <v>283</v>
      </c>
      <c r="E101" s="57" t="s">
        <v>536</v>
      </c>
    </row>
    <row r="102" spans="1:5" x14ac:dyDescent="0.35">
      <c r="A102" s="57" t="s">
        <v>588</v>
      </c>
      <c r="B102" s="57" t="s">
        <v>589</v>
      </c>
      <c r="C102" s="57" t="s">
        <v>394</v>
      </c>
      <c r="D102" s="57" t="s">
        <v>277</v>
      </c>
      <c r="E102" s="57" t="s">
        <v>423</v>
      </c>
    </row>
    <row r="103" spans="1:5" x14ac:dyDescent="0.35">
      <c r="A103" s="57" t="s">
        <v>590</v>
      </c>
      <c r="B103" s="57" t="s">
        <v>591</v>
      </c>
      <c r="C103" s="57" t="s">
        <v>394</v>
      </c>
      <c r="D103" s="57" t="s">
        <v>277</v>
      </c>
      <c r="E103" s="57" t="s">
        <v>423</v>
      </c>
    </row>
    <row r="104" spans="1:5" x14ac:dyDescent="0.35">
      <c r="A104" s="57" t="s">
        <v>592</v>
      </c>
      <c r="B104" s="57" t="s">
        <v>593</v>
      </c>
      <c r="C104" s="57" t="s">
        <v>394</v>
      </c>
      <c r="D104" s="57" t="s">
        <v>277</v>
      </c>
      <c r="E104" s="57" t="s">
        <v>423</v>
      </c>
    </row>
    <row r="105" spans="1:5" x14ac:dyDescent="0.35">
      <c r="A105" s="57" t="s">
        <v>594</v>
      </c>
      <c r="B105" s="57" t="s">
        <v>595</v>
      </c>
      <c r="C105" s="57" t="s">
        <v>394</v>
      </c>
      <c r="D105" s="57" t="s">
        <v>277</v>
      </c>
      <c r="E105" s="57" t="s">
        <v>423</v>
      </c>
    </row>
    <row r="106" spans="1:5" x14ac:dyDescent="0.35">
      <c r="A106" s="57" t="s">
        <v>596</v>
      </c>
      <c r="B106" s="57" t="s">
        <v>595</v>
      </c>
      <c r="C106" s="57" t="s">
        <v>394</v>
      </c>
      <c r="D106" s="57" t="s">
        <v>277</v>
      </c>
      <c r="E106" s="57" t="s">
        <v>480</v>
      </c>
    </row>
    <row r="107" spans="1:5" x14ac:dyDescent="0.35">
      <c r="A107" s="57" t="s">
        <v>597</v>
      </c>
      <c r="B107" s="57" t="s">
        <v>598</v>
      </c>
      <c r="C107" s="57" t="s">
        <v>394</v>
      </c>
      <c r="D107" s="57" t="s">
        <v>277</v>
      </c>
      <c r="E107" s="57" t="s">
        <v>599</v>
      </c>
    </row>
    <row r="108" spans="1:5" x14ac:dyDescent="0.35">
      <c r="A108" s="57" t="s">
        <v>600</v>
      </c>
      <c r="B108" s="57" t="s">
        <v>601</v>
      </c>
      <c r="C108" s="57" t="s">
        <v>394</v>
      </c>
      <c r="D108" s="57" t="s">
        <v>277</v>
      </c>
      <c r="E108" s="57" t="s">
        <v>179</v>
      </c>
    </row>
    <row r="109" spans="1:5" x14ac:dyDescent="0.35">
      <c r="A109" s="57" t="s">
        <v>602</v>
      </c>
      <c r="B109" s="57" t="s">
        <v>603</v>
      </c>
      <c r="C109" s="57" t="s">
        <v>394</v>
      </c>
      <c r="D109" s="57" t="s">
        <v>277</v>
      </c>
      <c r="E109" s="57" t="s">
        <v>423</v>
      </c>
    </row>
    <row r="110" spans="1:5" x14ac:dyDescent="0.35">
      <c r="A110" s="57" t="s">
        <v>604</v>
      </c>
      <c r="B110" s="57" t="s">
        <v>605</v>
      </c>
      <c r="C110" s="57" t="s">
        <v>394</v>
      </c>
      <c r="D110" s="57" t="s">
        <v>277</v>
      </c>
      <c r="E110" s="57" t="s">
        <v>179</v>
      </c>
    </row>
    <row r="111" spans="1:5" x14ac:dyDescent="0.35">
      <c r="A111" s="57" t="s">
        <v>606</v>
      </c>
      <c r="B111" s="57" t="s">
        <v>607</v>
      </c>
      <c r="C111" s="57" t="s">
        <v>394</v>
      </c>
      <c r="D111" s="57" t="s">
        <v>277</v>
      </c>
      <c r="E111" s="57" t="s">
        <v>423</v>
      </c>
    </row>
    <row r="112" spans="1:5" x14ac:dyDescent="0.35">
      <c r="A112" s="57" t="s">
        <v>608</v>
      </c>
      <c r="B112" s="57" t="s">
        <v>609</v>
      </c>
      <c r="C112" s="57" t="s">
        <v>394</v>
      </c>
      <c r="D112" s="57" t="s">
        <v>277</v>
      </c>
      <c r="E112" s="57" t="s">
        <v>423</v>
      </c>
    </row>
    <row r="113" spans="1:5" x14ac:dyDescent="0.35">
      <c r="A113" s="57" t="s">
        <v>610</v>
      </c>
      <c r="B113" s="57" t="s">
        <v>611</v>
      </c>
      <c r="C113" s="57" t="s">
        <v>394</v>
      </c>
      <c r="D113" s="57" t="s">
        <v>277</v>
      </c>
      <c r="E113" s="57" t="s">
        <v>423</v>
      </c>
    </row>
    <row r="114" spans="1:5" x14ac:dyDescent="0.35">
      <c r="A114" s="57" t="s">
        <v>612</v>
      </c>
      <c r="B114" s="57" t="s">
        <v>613</v>
      </c>
      <c r="C114" s="57" t="s">
        <v>394</v>
      </c>
      <c r="D114" s="57" t="s">
        <v>277</v>
      </c>
      <c r="E114" s="57" t="s">
        <v>423</v>
      </c>
    </row>
    <row r="115" spans="1:5" x14ac:dyDescent="0.35">
      <c r="A115" s="57" t="s">
        <v>614</v>
      </c>
      <c r="B115" s="57" t="s">
        <v>615</v>
      </c>
      <c r="C115" s="57" t="s">
        <v>394</v>
      </c>
      <c r="D115" s="57" t="s">
        <v>277</v>
      </c>
      <c r="E115" s="57" t="s">
        <v>423</v>
      </c>
    </row>
    <row r="116" spans="1:5" x14ac:dyDescent="0.35">
      <c r="A116" s="57" t="s">
        <v>616</v>
      </c>
      <c r="B116" s="57" t="s">
        <v>617</v>
      </c>
      <c r="C116" s="57" t="s">
        <v>394</v>
      </c>
      <c r="D116" s="57" t="s">
        <v>277</v>
      </c>
      <c r="E116" s="57" t="s">
        <v>528</v>
      </c>
    </row>
    <row r="117" spans="1:5" x14ac:dyDescent="0.35">
      <c r="A117" s="57" t="s">
        <v>618</v>
      </c>
      <c r="B117" s="57" t="s">
        <v>619</v>
      </c>
      <c r="C117" s="57" t="s">
        <v>394</v>
      </c>
      <c r="D117" s="57" t="s">
        <v>277</v>
      </c>
      <c r="E117" s="57" t="s">
        <v>575</v>
      </c>
    </row>
    <row r="118" spans="1:5" x14ac:dyDescent="0.35">
      <c r="A118" s="57" t="s">
        <v>620</v>
      </c>
      <c r="B118" s="57" t="s">
        <v>621</v>
      </c>
      <c r="C118" s="57" t="s">
        <v>394</v>
      </c>
      <c r="D118" s="57" t="s">
        <v>277</v>
      </c>
      <c r="E118" s="57" t="s">
        <v>423</v>
      </c>
    </row>
    <row r="119" spans="1:5" x14ac:dyDescent="0.35">
      <c r="A119" s="57" t="s">
        <v>622</v>
      </c>
      <c r="B119" s="57" t="s">
        <v>623</v>
      </c>
      <c r="C119" s="57" t="s">
        <v>394</v>
      </c>
      <c r="D119" s="57" t="s">
        <v>277</v>
      </c>
      <c r="E119" s="57" t="s">
        <v>423</v>
      </c>
    </row>
    <row r="120" spans="1:5" x14ac:dyDescent="0.35">
      <c r="A120" s="57" t="s">
        <v>624</v>
      </c>
      <c r="B120" s="57" t="s">
        <v>625</v>
      </c>
      <c r="C120" s="57" t="s">
        <v>394</v>
      </c>
      <c r="D120" s="57" t="s">
        <v>277</v>
      </c>
      <c r="E120" s="57" t="s">
        <v>423</v>
      </c>
    </row>
    <row r="121" spans="1:5" x14ac:dyDescent="0.35">
      <c r="A121" s="57" t="s">
        <v>626</v>
      </c>
      <c r="B121" s="57" t="s">
        <v>627</v>
      </c>
      <c r="C121" s="57" t="s">
        <v>394</v>
      </c>
      <c r="D121" s="57" t="s">
        <v>277</v>
      </c>
      <c r="E121" s="57" t="s">
        <v>423</v>
      </c>
    </row>
    <row r="122" spans="1:5" x14ac:dyDescent="0.35">
      <c r="A122" s="57" t="s">
        <v>628</v>
      </c>
      <c r="B122" s="57" t="s">
        <v>627</v>
      </c>
      <c r="C122" s="57" t="s">
        <v>394</v>
      </c>
      <c r="D122" s="57" t="s">
        <v>277</v>
      </c>
      <c r="E122" s="57" t="s">
        <v>423</v>
      </c>
    </row>
    <row r="123" spans="1:5" x14ac:dyDescent="0.35">
      <c r="A123" s="57" t="s">
        <v>629</v>
      </c>
      <c r="B123" s="57" t="s">
        <v>630</v>
      </c>
      <c r="C123" s="57" t="s">
        <v>394</v>
      </c>
      <c r="D123" s="57" t="s">
        <v>277</v>
      </c>
      <c r="E123" s="57" t="s">
        <v>180</v>
      </c>
    </row>
    <row r="124" spans="1:5" x14ac:dyDescent="0.35">
      <c r="A124" s="57" t="s">
        <v>631</v>
      </c>
      <c r="B124" s="57" t="s">
        <v>632</v>
      </c>
      <c r="C124" s="57" t="s">
        <v>394</v>
      </c>
      <c r="D124" s="57" t="s">
        <v>277</v>
      </c>
      <c r="E124" s="57" t="s">
        <v>362</v>
      </c>
    </row>
    <row r="125" spans="1:5" x14ac:dyDescent="0.35">
      <c r="A125" s="57" t="s">
        <v>633</v>
      </c>
      <c r="B125" s="57" t="s">
        <v>634</v>
      </c>
      <c r="C125" s="57" t="s">
        <v>394</v>
      </c>
      <c r="D125" s="57" t="s">
        <v>277</v>
      </c>
      <c r="E125" s="57" t="s">
        <v>423</v>
      </c>
    </row>
    <row r="126" spans="1:5" x14ac:dyDescent="0.35">
      <c r="A126" s="57" t="s">
        <v>635</v>
      </c>
      <c r="B126" s="57" t="s">
        <v>636</v>
      </c>
      <c r="C126" s="57" t="s">
        <v>394</v>
      </c>
      <c r="D126" s="57" t="s">
        <v>277</v>
      </c>
      <c r="E126" s="57" t="s">
        <v>423</v>
      </c>
    </row>
    <row r="127" spans="1:5" x14ac:dyDescent="0.35">
      <c r="A127" s="57" t="s">
        <v>637</v>
      </c>
      <c r="B127" s="57" t="s">
        <v>636</v>
      </c>
      <c r="C127" s="57" t="s">
        <v>394</v>
      </c>
      <c r="D127" s="57" t="s">
        <v>277</v>
      </c>
      <c r="E127" s="57" t="s">
        <v>423</v>
      </c>
    </row>
    <row r="128" spans="1:5" x14ac:dyDescent="0.35">
      <c r="A128" s="57" t="s">
        <v>638</v>
      </c>
      <c r="B128" s="57" t="s">
        <v>639</v>
      </c>
      <c r="C128" s="57" t="s">
        <v>394</v>
      </c>
      <c r="D128" s="57" t="s">
        <v>277</v>
      </c>
      <c r="E128" s="57" t="s">
        <v>362</v>
      </c>
    </row>
    <row r="129" spans="1:5" x14ac:dyDescent="0.35">
      <c r="A129" s="57" t="s">
        <v>640</v>
      </c>
      <c r="B129" s="57" t="s">
        <v>641</v>
      </c>
      <c r="C129" s="57" t="s">
        <v>394</v>
      </c>
      <c r="D129" s="57" t="s">
        <v>277</v>
      </c>
      <c r="E129" s="57" t="s">
        <v>642</v>
      </c>
    </row>
    <row r="130" spans="1:5" x14ac:dyDescent="0.35">
      <c r="A130" s="57" t="s">
        <v>643</v>
      </c>
      <c r="B130" s="57" t="s">
        <v>644</v>
      </c>
      <c r="C130" s="57" t="s">
        <v>394</v>
      </c>
      <c r="D130" s="57" t="s">
        <v>277</v>
      </c>
      <c r="E130" s="57" t="s">
        <v>179</v>
      </c>
    </row>
    <row r="131" spans="1:5" x14ac:dyDescent="0.35">
      <c r="A131" s="57" t="s">
        <v>645</v>
      </c>
      <c r="B131" s="57" t="s">
        <v>646</v>
      </c>
      <c r="C131" s="57" t="s">
        <v>394</v>
      </c>
      <c r="D131" s="57" t="s">
        <v>277</v>
      </c>
      <c r="E131" s="57" t="s">
        <v>423</v>
      </c>
    </row>
    <row r="132" spans="1:5" x14ac:dyDescent="0.35">
      <c r="A132" s="57" t="s">
        <v>647</v>
      </c>
      <c r="B132" s="57" t="s">
        <v>646</v>
      </c>
      <c r="C132" s="57" t="s">
        <v>394</v>
      </c>
      <c r="D132" s="57" t="s">
        <v>277</v>
      </c>
      <c r="E132" s="57" t="s">
        <v>423</v>
      </c>
    </row>
    <row r="133" spans="1:5" x14ac:dyDescent="0.35">
      <c r="A133" s="57" t="s">
        <v>648</v>
      </c>
      <c r="B133" s="57" t="s">
        <v>649</v>
      </c>
      <c r="C133" s="57" t="s">
        <v>394</v>
      </c>
      <c r="D133" s="57" t="s">
        <v>277</v>
      </c>
      <c r="E133" s="57" t="s">
        <v>423</v>
      </c>
    </row>
    <row r="134" spans="1:5" x14ac:dyDescent="0.35">
      <c r="A134" s="57" t="s">
        <v>650</v>
      </c>
      <c r="B134" s="57" t="s">
        <v>651</v>
      </c>
      <c r="C134" s="57" t="s">
        <v>394</v>
      </c>
      <c r="D134" s="57" t="s">
        <v>277</v>
      </c>
      <c r="E134" s="57" t="s">
        <v>179</v>
      </c>
    </row>
    <row r="135" spans="1:5" x14ac:dyDescent="0.35">
      <c r="A135" s="57" t="s">
        <v>652</v>
      </c>
      <c r="B135" s="57" t="s">
        <v>653</v>
      </c>
      <c r="C135" s="57" t="s">
        <v>394</v>
      </c>
      <c r="D135" s="57" t="s">
        <v>277</v>
      </c>
      <c r="E135" s="57" t="s">
        <v>423</v>
      </c>
    </row>
    <row r="136" spans="1:5" x14ac:dyDescent="0.35">
      <c r="A136" s="57" t="s">
        <v>654</v>
      </c>
      <c r="B136" s="57" t="s">
        <v>655</v>
      </c>
      <c r="C136" s="57" t="s">
        <v>394</v>
      </c>
      <c r="D136" s="57" t="s">
        <v>277</v>
      </c>
      <c r="E136" s="57" t="s">
        <v>423</v>
      </c>
    </row>
    <row r="137" spans="1:5" x14ac:dyDescent="0.35">
      <c r="A137" s="57" t="s">
        <v>656</v>
      </c>
      <c r="B137" s="57" t="s">
        <v>657</v>
      </c>
      <c r="C137" s="57" t="s">
        <v>394</v>
      </c>
      <c r="D137" s="57" t="s">
        <v>277</v>
      </c>
      <c r="E137" s="57" t="s">
        <v>423</v>
      </c>
    </row>
    <row r="138" spans="1:5" x14ac:dyDescent="0.35">
      <c r="A138" s="57" t="s">
        <v>658</v>
      </c>
      <c r="B138" s="57" t="s">
        <v>659</v>
      </c>
      <c r="C138" s="57" t="s">
        <v>394</v>
      </c>
      <c r="D138" s="57" t="s">
        <v>277</v>
      </c>
      <c r="E138" s="57" t="s">
        <v>423</v>
      </c>
    </row>
    <row r="139" spans="1:5" x14ac:dyDescent="0.35">
      <c r="A139" s="57" t="s">
        <v>660</v>
      </c>
      <c r="B139" s="57" t="s">
        <v>661</v>
      </c>
      <c r="C139" s="57" t="s">
        <v>394</v>
      </c>
      <c r="D139" s="57" t="s">
        <v>277</v>
      </c>
      <c r="E139" s="57" t="s">
        <v>423</v>
      </c>
    </row>
    <row r="140" spans="1:5" x14ac:dyDescent="0.35">
      <c r="A140" s="57" t="s">
        <v>662</v>
      </c>
      <c r="B140" s="57" t="s">
        <v>663</v>
      </c>
      <c r="C140" s="57" t="s">
        <v>394</v>
      </c>
      <c r="D140" s="57" t="s">
        <v>277</v>
      </c>
      <c r="E140" s="57" t="s">
        <v>179</v>
      </c>
    </row>
    <row r="141" spans="1:5" x14ac:dyDescent="0.35">
      <c r="A141" s="57" t="s">
        <v>664</v>
      </c>
      <c r="B141" s="57" t="s">
        <v>665</v>
      </c>
      <c r="C141" s="57" t="s">
        <v>394</v>
      </c>
      <c r="D141" s="57" t="s">
        <v>277</v>
      </c>
      <c r="E141" s="57" t="s">
        <v>179</v>
      </c>
    </row>
    <row r="142" spans="1:5" x14ac:dyDescent="0.35">
      <c r="A142" s="57" t="s">
        <v>666</v>
      </c>
      <c r="B142" s="57" t="s">
        <v>667</v>
      </c>
      <c r="C142" s="57" t="s">
        <v>394</v>
      </c>
      <c r="D142" s="57" t="s">
        <v>277</v>
      </c>
      <c r="E142" s="57" t="s">
        <v>179</v>
      </c>
    </row>
    <row r="143" spans="1:5" x14ac:dyDescent="0.35">
      <c r="A143" s="57" t="s">
        <v>668</v>
      </c>
      <c r="B143" s="57" t="s">
        <v>669</v>
      </c>
      <c r="C143" s="57" t="s">
        <v>394</v>
      </c>
      <c r="D143" s="57" t="s">
        <v>277</v>
      </c>
      <c r="E143" s="57" t="s">
        <v>423</v>
      </c>
    </row>
    <row r="144" spans="1:5" x14ac:dyDescent="0.35">
      <c r="A144" s="57" t="s">
        <v>670</v>
      </c>
      <c r="B144" s="57" t="s">
        <v>671</v>
      </c>
      <c r="C144" s="57" t="s">
        <v>394</v>
      </c>
      <c r="D144" s="57" t="s">
        <v>277</v>
      </c>
      <c r="E144" s="57" t="s">
        <v>179</v>
      </c>
    </row>
    <row r="145" spans="1:5" x14ac:dyDescent="0.35">
      <c r="A145" s="57" t="s">
        <v>672</v>
      </c>
      <c r="B145" s="57" t="s">
        <v>673</v>
      </c>
      <c r="C145" s="57" t="s">
        <v>394</v>
      </c>
      <c r="D145" s="57" t="s">
        <v>277</v>
      </c>
      <c r="E145" s="57" t="s">
        <v>179</v>
      </c>
    </row>
    <row r="146" spans="1:5" x14ac:dyDescent="0.35">
      <c r="A146" s="57" t="s">
        <v>674</v>
      </c>
      <c r="B146" s="57" t="s">
        <v>673</v>
      </c>
      <c r="C146" s="57" t="s">
        <v>394</v>
      </c>
      <c r="D146" s="57" t="s">
        <v>277</v>
      </c>
      <c r="E146" s="57" t="s">
        <v>179</v>
      </c>
    </row>
    <row r="147" spans="1:5" x14ac:dyDescent="0.35">
      <c r="A147" s="57" t="s">
        <v>675</v>
      </c>
      <c r="B147" s="57" t="s">
        <v>649</v>
      </c>
      <c r="C147" s="57" t="s">
        <v>394</v>
      </c>
      <c r="D147" s="57" t="s">
        <v>277</v>
      </c>
      <c r="E147" s="57" t="s">
        <v>423</v>
      </c>
    </row>
    <row r="148" spans="1:5" x14ac:dyDescent="0.35">
      <c r="A148" s="57" t="s">
        <v>676</v>
      </c>
      <c r="B148" s="57" t="s">
        <v>677</v>
      </c>
      <c r="C148" s="57" t="s">
        <v>394</v>
      </c>
      <c r="D148" s="57" t="s">
        <v>277</v>
      </c>
      <c r="E148" s="57" t="s">
        <v>423</v>
      </c>
    </row>
    <row r="149" spans="1:5" x14ac:dyDescent="0.35">
      <c r="A149" s="57" t="s">
        <v>678</v>
      </c>
      <c r="B149" s="57" t="s">
        <v>679</v>
      </c>
      <c r="C149" s="57" t="s">
        <v>394</v>
      </c>
      <c r="D149" s="57" t="s">
        <v>277</v>
      </c>
      <c r="E149" s="57" t="s">
        <v>423</v>
      </c>
    </row>
    <row r="150" spans="1:5" x14ac:dyDescent="0.35">
      <c r="A150" s="57" t="s">
        <v>680</v>
      </c>
      <c r="B150" s="57" t="s">
        <v>681</v>
      </c>
      <c r="C150" s="57" t="s">
        <v>394</v>
      </c>
      <c r="D150" s="57" t="s">
        <v>277</v>
      </c>
      <c r="E150" s="57" t="s">
        <v>536</v>
      </c>
    </row>
    <row r="151" spans="1:5" x14ac:dyDescent="0.35">
      <c r="A151" s="57" t="s">
        <v>682</v>
      </c>
      <c r="B151" s="57" t="s">
        <v>683</v>
      </c>
      <c r="C151" s="57" t="s">
        <v>394</v>
      </c>
      <c r="D151" s="57" t="s">
        <v>277</v>
      </c>
      <c r="E151" s="57" t="s">
        <v>536</v>
      </c>
    </row>
    <row r="152" spans="1:5" x14ac:dyDescent="0.35">
      <c r="A152" s="57" t="s">
        <v>684</v>
      </c>
      <c r="B152" s="57" t="s">
        <v>685</v>
      </c>
      <c r="C152" s="57" t="s">
        <v>394</v>
      </c>
      <c r="D152" s="57" t="s">
        <v>277</v>
      </c>
      <c r="E152" s="57" t="s">
        <v>536</v>
      </c>
    </row>
    <row r="153" spans="1:5" x14ac:dyDescent="0.35">
      <c r="A153" s="57" t="s">
        <v>686</v>
      </c>
      <c r="B153" s="57" t="s">
        <v>687</v>
      </c>
      <c r="C153" s="57" t="s">
        <v>394</v>
      </c>
      <c r="D153" s="57" t="s">
        <v>277</v>
      </c>
      <c r="E153" s="57" t="s">
        <v>536</v>
      </c>
    </row>
    <row r="154" spans="1:5" x14ac:dyDescent="0.35">
      <c r="A154" s="57" t="s">
        <v>688</v>
      </c>
      <c r="B154" s="57" t="s">
        <v>689</v>
      </c>
      <c r="C154" s="57" t="s">
        <v>394</v>
      </c>
      <c r="D154" s="57" t="s">
        <v>277</v>
      </c>
      <c r="E154" s="57" t="s">
        <v>536</v>
      </c>
    </row>
    <row r="155" spans="1:5" x14ac:dyDescent="0.35">
      <c r="A155" s="57" t="s">
        <v>690</v>
      </c>
      <c r="B155" s="57" t="s">
        <v>691</v>
      </c>
      <c r="C155" s="57" t="s">
        <v>394</v>
      </c>
      <c r="D155" s="57" t="s">
        <v>277</v>
      </c>
      <c r="E155" s="57" t="s">
        <v>536</v>
      </c>
    </row>
    <row r="156" spans="1:5" x14ac:dyDescent="0.35">
      <c r="A156" s="57" t="s">
        <v>692</v>
      </c>
      <c r="B156" s="57" t="s">
        <v>693</v>
      </c>
      <c r="C156" s="57" t="s">
        <v>394</v>
      </c>
      <c r="D156" s="57" t="s">
        <v>277</v>
      </c>
      <c r="E156" s="57" t="s">
        <v>536</v>
      </c>
    </row>
    <row r="157" spans="1:5" x14ac:dyDescent="0.35">
      <c r="A157" s="57" t="s">
        <v>694</v>
      </c>
      <c r="B157" s="57" t="s">
        <v>695</v>
      </c>
      <c r="C157" s="57" t="s">
        <v>394</v>
      </c>
      <c r="D157" s="57" t="s">
        <v>277</v>
      </c>
      <c r="E157" s="57" t="s">
        <v>536</v>
      </c>
    </row>
    <row r="158" spans="1:5" x14ac:dyDescent="0.35">
      <c r="A158" s="57" t="s">
        <v>696</v>
      </c>
      <c r="B158" s="57" t="s">
        <v>697</v>
      </c>
      <c r="C158" s="57" t="s">
        <v>394</v>
      </c>
      <c r="D158" s="57" t="s">
        <v>277</v>
      </c>
      <c r="E158" s="57" t="s">
        <v>536</v>
      </c>
    </row>
    <row r="159" spans="1:5" x14ac:dyDescent="0.35">
      <c r="A159" s="57" t="s">
        <v>698</v>
      </c>
      <c r="B159" s="57" t="s">
        <v>699</v>
      </c>
      <c r="C159" s="57" t="s">
        <v>394</v>
      </c>
      <c r="D159" s="57" t="s">
        <v>277</v>
      </c>
      <c r="E159" s="57" t="s">
        <v>536</v>
      </c>
    </row>
    <row r="160" spans="1:5" x14ac:dyDescent="0.35">
      <c r="A160" s="57" t="s">
        <v>700</v>
      </c>
      <c r="B160" s="57" t="s">
        <v>701</v>
      </c>
      <c r="C160" s="57" t="s">
        <v>394</v>
      </c>
      <c r="D160" s="57" t="s">
        <v>277</v>
      </c>
      <c r="E160" s="57" t="s">
        <v>536</v>
      </c>
    </row>
    <row r="161" spans="1:5" x14ac:dyDescent="0.35">
      <c r="A161" s="57" t="s">
        <v>702</v>
      </c>
      <c r="B161" s="57" t="s">
        <v>703</v>
      </c>
      <c r="C161" s="57" t="s">
        <v>394</v>
      </c>
      <c r="D161" s="57" t="s">
        <v>277</v>
      </c>
      <c r="E161" s="57" t="s">
        <v>536</v>
      </c>
    </row>
    <row r="162" spans="1:5" x14ac:dyDescent="0.35">
      <c r="A162" s="57" t="s">
        <v>704</v>
      </c>
      <c r="B162" s="57" t="s">
        <v>705</v>
      </c>
      <c r="C162" s="57" t="s">
        <v>394</v>
      </c>
      <c r="D162" s="57" t="s">
        <v>277</v>
      </c>
      <c r="E162" s="57" t="s">
        <v>536</v>
      </c>
    </row>
    <row r="163" spans="1:5" x14ac:dyDescent="0.35">
      <c r="A163" s="57" t="s">
        <v>706</v>
      </c>
      <c r="B163" s="57" t="s">
        <v>707</v>
      </c>
      <c r="C163" s="57" t="s">
        <v>394</v>
      </c>
      <c r="D163" s="57" t="s">
        <v>277</v>
      </c>
      <c r="E163" s="57" t="s">
        <v>536</v>
      </c>
    </row>
    <row r="164" spans="1:5" x14ac:dyDescent="0.35">
      <c r="A164" s="57" t="s">
        <v>708</v>
      </c>
      <c r="B164" s="57" t="s">
        <v>709</v>
      </c>
      <c r="C164" s="57" t="s">
        <v>394</v>
      </c>
      <c r="D164" s="57" t="s">
        <v>282</v>
      </c>
      <c r="E164" s="57" t="s">
        <v>423</v>
      </c>
    </row>
    <row r="165" spans="1:5" x14ac:dyDescent="0.35">
      <c r="A165" s="57" t="s">
        <v>710</v>
      </c>
      <c r="B165" s="57" t="s">
        <v>711</v>
      </c>
      <c r="C165" s="57" t="s">
        <v>394</v>
      </c>
      <c r="D165" s="57" t="s">
        <v>282</v>
      </c>
      <c r="E165" s="57" t="s">
        <v>423</v>
      </c>
    </row>
    <row r="166" spans="1:5" x14ac:dyDescent="0.35">
      <c r="A166" s="57" t="s">
        <v>712</v>
      </c>
      <c r="B166" s="57" t="s">
        <v>711</v>
      </c>
      <c r="C166" s="57" t="s">
        <v>394</v>
      </c>
      <c r="D166" s="57" t="s">
        <v>282</v>
      </c>
      <c r="E166" s="57" t="s">
        <v>423</v>
      </c>
    </row>
    <row r="167" spans="1:5" x14ac:dyDescent="0.35">
      <c r="A167" s="57" t="s">
        <v>713</v>
      </c>
      <c r="B167" s="57" t="s">
        <v>711</v>
      </c>
      <c r="C167" s="57" t="s">
        <v>394</v>
      </c>
      <c r="D167" s="57" t="s">
        <v>282</v>
      </c>
      <c r="E167" s="57" t="s">
        <v>480</v>
      </c>
    </row>
    <row r="168" spans="1:5" x14ac:dyDescent="0.35">
      <c r="A168" s="57" t="s">
        <v>714</v>
      </c>
      <c r="B168" s="57" t="s">
        <v>711</v>
      </c>
      <c r="C168" s="57" t="s">
        <v>394</v>
      </c>
      <c r="D168" s="57" t="s">
        <v>282</v>
      </c>
      <c r="E168" s="57" t="s">
        <v>480</v>
      </c>
    </row>
    <row r="169" spans="1:5" x14ac:dyDescent="0.35">
      <c r="A169" s="57" t="s">
        <v>715</v>
      </c>
      <c r="B169" s="57" t="s">
        <v>716</v>
      </c>
      <c r="C169" s="57" t="s">
        <v>394</v>
      </c>
      <c r="D169" s="57" t="s">
        <v>282</v>
      </c>
      <c r="E169" s="57" t="s">
        <v>423</v>
      </c>
    </row>
    <row r="170" spans="1:5" x14ac:dyDescent="0.35">
      <c r="A170" s="57" t="s">
        <v>717</v>
      </c>
      <c r="B170" s="57" t="s">
        <v>718</v>
      </c>
      <c r="C170" s="57" t="s">
        <v>394</v>
      </c>
      <c r="D170" s="57" t="s">
        <v>282</v>
      </c>
      <c r="E170" s="57" t="s">
        <v>423</v>
      </c>
    </row>
    <row r="171" spans="1:5" x14ac:dyDescent="0.35">
      <c r="A171" s="57" t="s">
        <v>719</v>
      </c>
      <c r="B171" s="57" t="s">
        <v>720</v>
      </c>
      <c r="C171" s="57" t="s">
        <v>394</v>
      </c>
      <c r="D171" s="57" t="s">
        <v>282</v>
      </c>
      <c r="E171" s="57" t="s">
        <v>423</v>
      </c>
    </row>
    <row r="172" spans="1:5" x14ac:dyDescent="0.35">
      <c r="A172" s="57" t="s">
        <v>721</v>
      </c>
      <c r="B172" s="57" t="s">
        <v>722</v>
      </c>
      <c r="C172" s="57" t="s">
        <v>394</v>
      </c>
      <c r="D172" s="57" t="s">
        <v>282</v>
      </c>
      <c r="E172" s="57" t="s">
        <v>423</v>
      </c>
    </row>
    <row r="173" spans="1:5" x14ac:dyDescent="0.35">
      <c r="A173" s="57" t="s">
        <v>723</v>
      </c>
      <c r="B173" s="57" t="s">
        <v>722</v>
      </c>
      <c r="C173" s="57" t="s">
        <v>394</v>
      </c>
      <c r="D173" s="57" t="s">
        <v>282</v>
      </c>
      <c r="E173" s="57" t="s">
        <v>724</v>
      </c>
    </row>
    <row r="174" spans="1:5" x14ac:dyDescent="0.35">
      <c r="A174" s="57" t="s">
        <v>725</v>
      </c>
      <c r="B174" s="57" t="s">
        <v>722</v>
      </c>
      <c r="C174" s="57" t="s">
        <v>394</v>
      </c>
      <c r="D174" s="57" t="s">
        <v>282</v>
      </c>
      <c r="E174" s="57" t="s">
        <v>726</v>
      </c>
    </row>
    <row r="175" spans="1:5" x14ac:dyDescent="0.35">
      <c r="A175" s="57" t="s">
        <v>727</v>
      </c>
      <c r="B175" s="57" t="s">
        <v>728</v>
      </c>
      <c r="C175" s="57" t="s">
        <v>394</v>
      </c>
      <c r="D175" s="57" t="s">
        <v>282</v>
      </c>
      <c r="E175" s="57" t="s">
        <v>179</v>
      </c>
    </row>
    <row r="176" spans="1:5" x14ac:dyDescent="0.35">
      <c r="A176" s="57" t="s">
        <v>729</v>
      </c>
      <c r="B176" s="57" t="s">
        <v>728</v>
      </c>
      <c r="C176" s="57" t="s">
        <v>394</v>
      </c>
      <c r="D176" s="57" t="s">
        <v>282</v>
      </c>
      <c r="E176" s="57" t="s">
        <v>730</v>
      </c>
    </row>
    <row r="177" spans="1:5" x14ac:dyDescent="0.35">
      <c r="A177" s="57" t="s">
        <v>731</v>
      </c>
      <c r="B177" s="57" t="s">
        <v>728</v>
      </c>
      <c r="C177" s="57" t="s">
        <v>394</v>
      </c>
      <c r="D177" s="57" t="s">
        <v>282</v>
      </c>
      <c r="E177" s="57" t="s">
        <v>732</v>
      </c>
    </row>
    <row r="178" spans="1:5" x14ac:dyDescent="0.35">
      <c r="A178" s="57" t="s">
        <v>733</v>
      </c>
      <c r="B178" s="57" t="s">
        <v>734</v>
      </c>
      <c r="C178" s="57" t="s">
        <v>394</v>
      </c>
      <c r="D178" s="57" t="s">
        <v>282</v>
      </c>
      <c r="E178" s="57" t="s">
        <v>480</v>
      </c>
    </row>
    <row r="179" spans="1:5" x14ac:dyDescent="0.35">
      <c r="A179" s="57" t="s">
        <v>735</v>
      </c>
      <c r="B179" s="57" t="s">
        <v>734</v>
      </c>
      <c r="C179" s="57" t="s">
        <v>394</v>
      </c>
      <c r="D179" s="57" t="s">
        <v>282</v>
      </c>
      <c r="E179" s="57" t="s">
        <v>423</v>
      </c>
    </row>
    <row r="180" spans="1:5" x14ac:dyDescent="0.35">
      <c r="A180" s="57" t="s">
        <v>736</v>
      </c>
      <c r="B180" s="57" t="s">
        <v>737</v>
      </c>
      <c r="C180" s="57" t="s">
        <v>394</v>
      </c>
      <c r="D180" s="57" t="s">
        <v>282</v>
      </c>
      <c r="E180" s="57" t="s">
        <v>179</v>
      </c>
    </row>
    <row r="181" spans="1:5" x14ac:dyDescent="0.35">
      <c r="A181" s="57" t="s">
        <v>738</v>
      </c>
      <c r="B181" s="57" t="s">
        <v>739</v>
      </c>
      <c r="C181" s="57" t="s">
        <v>394</v>
      </c>
      <c r="D181" s="57" t="s">
        <v>282</v>
      </c>
      <c r="E181" s="57" t="s">
        <v>423</v>
      </c>
    </row>
    <row r="182" spans="1:5" x14ac:dyDescent="0.35">
      <c r="A182" s="57" t="s">
        <v>740</v>
      </c>
      <c r="B182" s="57" t="s">
        <v>739</v>
      </c>
      <c r="C182" s="57" t="s">
        <v>394</v>
      </c>
      <c r="D182" s="57" t="s">
        <v>282</v>
      </c>
      <c r="E182" s="57" t="s">
        <v>480</v>
      </c>
    </row>
    <row r="183" spans="1:5" x14ac:dyDescent="0.35">
      <c r="A183" s="57" t="s">
        <v>741</v>
      </c>
      <c r="B183" s="57" t="s">
        <v>739</v>
      </c>
      <c r="C183" s="57" t="s">
        <v>394</v>
      </c>
      <c r="D183" s="57" t="s">
        <v>282</v>
      </c>
      <c r="E183" s="57" t="s">
        <v>179</v>
      </c>
    </row>
    <row r="184" spans="1:5" x14ac:dyDescent="0.35">
      <c r="A184" s="57" t="s">
        <v>742</v>
      </c>
      <c r="B184" s="57" t="s">
        <v>743</v>
      </c>
      <c r="C184" s="57" t="s">
        <v>394</v>
      </c>
      <c r="D184" s="57" t="s">
        <v>282</v>
      </c>
      <c r="E184" s="57" t="s">
        <v>423</v>
      </c>
    </row>
    <row r="185" spans="1:5" x14ac:dyDescent="0.35">
      <c r="A185" s="57" t="s">
        <v>744</v>
      </c>
      <c r="B185" s="57" t="s">
        <v>743</v>
      </c>
      <c r="C185" s="57" t="s">
        <v>394</v>
      </c>
      <c r="D185" s="57" t="s">
        <v>282</v>
      </c>
      <c r="E185" s="57" t="s">
        <v>423</v>
      </c>
    </row>
    <row r="186" spans="1:5" x14ac:dyDescent="0.35">
      <c r="A186" s="57" t="s">
        <v>745</v>
      </c>
      <c r="B186" s="57" t="s">
        <v>746</v>
      </c>
      <c r="C186" s="57" t="s">
        <v>394</v>
      </c>
      <c r="D186" s="57" t="s">
        <v>282</v>
      </c>
      <c r="E186" s="57" t="s">
        <v>423</v>
      </c>
    </row>
    <row r="187" spans="1:5" x14ac:dyDescent="0.35">
      <c r="A187" s="57" t="s">
        <v>747</v>
      </c>
      <c r="B187" s="57" t="s">
        <v>748</v>
      </c>
      <c r="C187" s="57" t="s">
        <v>394</v>
      </c>
      <c r="D187" s="57" t="s">
        <v>282</v>
      </c>
      <c r="E187" s="57" t="s">
        <v>423</v>
      </c>
    </row>
    <row r="188" spans="1:5" x14ac:dyDescent="0.35">
      <c r="A188" s="57" t="s">
        <v>749</v>
      </c>
      <c r="B188" s="57" t="s">
        <v>750</v>
      </c>
      <c r="C188" s="57" t="s">
        <v>394</v>
      </c>
      <c r="D188" s="57" t="s">
        <v>282</v>
      </c>
      <c r="E188" s="57" t="s">
        <v>423</v>
      </c>
    </row>
    <row r="189" spans="1:5" x14ac:dyDescent="0.35">
      <c r="A189" s="57" t="s">
        <v>751</v>
      </c>
      <c r="B189" s="57" t="s">
        <v>752</v>
      </c>
      <c r="C189" s="57" t="s">
        <v>394</v>
      </c>
      <c r="D189" s="57" t="s">
        <v>282</v>
      </c>
      <c r="E189" s="57" t="s">
        <v>179</v>
      </c>
    </row>
    <row r="190" spans="1:5" x14ac:dyDescent="0.35">
      <c r="A190" s="57" t="s">
        <v>753</v>
      </c>
      <c r="B190" s="57" t="s">
        <v>754</v>
      </c>
      <c r="C190" s="57" t="s">
        <v>394</v>
      </c>
      <c r="D190" s="57" t="s">
        <v>282</v>
      </c>
      <c r="E190" s="57" t="s">
        <v>179</v>
      </c>
    </row>
    <row r="191" spans="1:5" x14ac:dyDescent="0.35">
      <c r="A191" s="57" t="s">
        <v>755</v>
      </c>
      <c r="B191" s="57" t="s">
        <v>756</v>
      </c>
      <c r="C191" s="57" t="s">
        <v>394</v>
      </c>
      <c r="D191" s="57" t="s">
        <v>282</v>
      </c>
      <c r="E191" s="57" t="s">
        <v>423</v>
      </c>
    </row>
    <row r="192" spans="1:5" x14ac:dyDescent="0.35">
      <c r="A192" s="57" t="s">
        <v>757</v>
      </c>
      <c r="B192" s="57" t="s">
        <v>758</v>
      </c>
      <c r="C192" s="57" t="s">
        <v>394</v>
      </c>
      <c r="D192" s="57" t="s">
        <v>282</v>
      </c>
      <c r="E192" s="57" t="s">
        <v>423</v>
      </c>
    </row>
    <row r="193" spans="1:5" x14ac:dyDescent="0.35">
      <c r="A193" s="57" t="s">
        <v>759</v>
      </c>
      <c r="B193" s="57" t="s">
        <v>760</v>
      </c>
      <c r="C193" s="57" t="s">
        <v>394</v>
      </c>
      <c r="D193" s="57" t="s">
        <v>282</v>
      </c>
      <c r="E193" s="57" t="s">
        <v>423</v>
      </c>
    </row>
    <row r="194" spans="1:5" x14ac:dyDescent="0.35">
      <c r="A194" s="57" t="s">
        <v>761</v>
      </c>
      <c r="B194" s="57" t="s">
        <v>762</v>
      </c>
      <c r="C194" s="57" t="s">
        <v>394</v>
      </c>
      <c r="D194" s="57" t="s">
        <v>282</v>
      </c>
      <c r="E194" s="57" t="s">
        <v>536</v>
      </c>
    </row>
    <row r="195" spans="1:5" x14ac:dyDescent="0.35">
      <c r="A195" s="57" t="s">
        <v>763</v>
      </c>
      <c r="B195" s="57" t="s">
        <v>764</v>
      </c>
      <c r="C195" s="57" t="s">
        <v>394</v>
      </c>
      <c r="D195" s="57" t="s">
        <v>282</v>
      </c>
      <c r="E195" s="57" t="s">
        <v>536</v>
      </c>
    </row>
    <row r="196" spans="1:5" x14ac:dyDescent="0.35">
      <c r="A196" s="57" t="s">
        <v>765</v>
      </c>
      <c r="B196" s="57" t="s">
        <v>766</v>
      </c>
      <c r="C196" s="57" t="s">
        <v>394</v>
      </c>
      <c r="D196" s="57" t="s">
        <v>282</v>
      </c>
      <c r="E196" s="57" t="s">
        <v>536</v>
      </c>
    </row>
    <row r="197" spans="1:5" x14ac:dyDescent="0.35">
      <c r="A197" s="57" t="s">
        <v>767</v>
      </c>
      <c r="B197" s="57" t="s">
        <v>768</v>
      </c>
      <c r="C197" s="57" t="s">
        <v>394</v>
      </c>
      <c r="D197" s="57" t="s">
        <v>282</v>
      </c>
      <c r="E197" s="57" t="s">
        <v>536</v>
      </c>
    </row>
    <row r="198" spans="1:5" x14ac:dyDescent="0.35">
      <c r="A198" s="57" t="s">
        <v>769</v>
      </c>
      <c r="B198" s="57" t="s">
        <v>770</v>
      </c>
      <c r="C198" s="57" t="s">
        <v>394</v>
      </c>
      <c r="D198" s="57" t="s">
        <v>282</v>
      </c>
      <c r="E198" s="57" t="s">
        <v>536</v>
      </c>
    </row>
    <row r="199" spans="1:5" x14ac:dyDescent="0.35">
      <c r="A199" s="57" t="s">
        <v>771</v>
      </c>
      <c r="B199" s="57" t="s">
        <v>772</v>
      </c>
      <c r="C199" s="57" t="s">
        <v>394</v>
      </c>
      <c r="D199" s="57" t="s">
        <v>284</v>
      </c>
      <c r="E199" s="57" t="s">
        <v>179</v>
      </c>
    </row>
    <row r="200" spans="1:5" x14ac:dyDescent="0.35">
      <c r="A200" s="57" t="s">
        <v>773</v>
      </c>
      <c r="B200" s="57" t="s">
        <v>774</v>
      </c>
      <c r="C200" s="57" t="s">
        <v>394</v>
      </c>
      <c r="D200" s="57" t="s">
        <v>282</v>
      </c>
      <c r="E200" s="57" t="s">
        <v>775</v>
      </c>
    </row>
    <row r="201" spans="1:5" x14ac:dyDescent="0.35">
      <c r="A201" s="57" t="s">
        <v>776</v>
      </c>
      <c r="B201" s="57" t="s">
        <v>774</v>
      </c>
      <c r="C201" s="57" t="s">
        <v>394</v>
      </c>
      <c r="D201" s="57" t="s">
        <v>284</v>
      </c>
      <c r="E201" s="57" t="s">
        <v>777</v>
      </c>
    </row>
    <row r="202" spans="1:5" x14ac:dyDescent="0.35">
      <c r="A202" s="57" t="s">
        <v>778</v>
      </c>
      <c r="B202" s="57" t="s">
        <v>774</v>
      </c>
      <c r="C202" s="57" t="s">
        <v>394</v>
      </c>
      <c r="D202" s="57" t="s">
        <v>284</v>
      </c>
      <c r="E202" s="57" t="s">
        <v>779</v>
      </c>
    </row>
    <row r="203" spans="1:5" x14ac:dyDescent="0.35">
      <c r="A203" s="57" t="s">
        <v>780</v>
      </c>
      <c r="B203" s="57" t="s">
        <v>772</v>
      </c>
      <c r="C203" s="57" t="s">
        <v>394</v>
      </c>
      <c r="D203" s="57" t="s">
        <v>131</v>
      </c>
      <c r="E203" s="57" t="s">
        <v>781</v>
      </c>
    </row>
    <row r="204" spans="1:5" x14ac:dyDescent="0.35">
      <c r="A204" s="57" t="s">
        <v>782</v>
      </c>
      <c r="B204" s="57" t="s">
        <v>774</v>
      </c>
      <c r="C204" s="57" t="s">
        <v>394</v>
      </c>
      <c r="D204" s="57" t="s">
        <v>284</v>
      </c>
      <c r="E204" s="57" t="s">
        <v>423</v>
      </c>
    </row>
    <row r="205" spans="1:5" x14ac:dyDescent="0.35">
      <c r="A205" s="57" t="s">
        <v>783</v>
      </c>
      <c r="B205" s="57" t="s">
        <v>784</v>
      </c>
      <c r="C205" s="57" t="s">
        <v>394</v>
      </c>
      <c r="D205" s="57" t="s">
        <v>284</v>
      </c>
      <c r="E205" s="57" t="s">
        <v>179</v>
      </c>
    </row>
    <row r="206" spans="1:5" x14ac:dyDescent="0.35">
      <c r="A206" s="57" t="s">
        <v>785</v>
      </c>
      <c r="B206" s="57" t="s">
        <v>786</v>
      </c>
      <c r="C206" s="57" t="s">
        <v>394</v>
      </c>
      <c r="D206" s="57" t="s">
        <v>284</v>
      </c>
      <c r="E206" s="57" t="s">
        <v>179</v>
      </c>
    </row>
    <row r="207" spans="1:5" x14ac:dyDescent="0.35">
      <c r="A207" s="57" t="s">
        <v>787</v>
      </c>
      <c r="B207" s="57" t="s">
        <v>786</v>
      </c>
      <c r="C207" s="57" t="s">
        <v>394</v>
      </c>
      <c r="D207" s="57" t="s">
        <v>284</v>
      </c>
      <c r="E207" s="57" t="s">
        <v>179</v>
      </c>
    </row>
    <row r="208" spans="1:5" x14ac:dyDescent="0.35">
      <c r="A208" s="57" t="s">
        <v>788</v>
      </c>
      <c r="B208" s="57" t="s">
        <v>789</v>
      </c>
      <c r="C208" s="57" t="s">
        <v>394</v>
      </c>
      <c r="D208" s="57" t="s">
        <v>284</v>
      </c>
      <c r="E208" s="57" t="s">
        <v>790</v>
      </c>
    </row>
    <row r="209" spans="1:5" x14ac:dyDescent="0.35">
      <c r="A209" s="57" t="s">
        <v>791</v>
      </c>
      <c r="B209" s="57" t="s">
        <v>789</v>
      </c>
      <c r="C209" s="57" t="s">
        <v>394</v>
      </c>
      <c r="D209" s="57" t="s">
        <v>284</v>
      </c>
      <c r="E209" s="57" t="s">
        <v>792</v>
      </c>
    </row>
    <row r="210" spans="1:5" x14ac:dyDescent="0.35">
      <c r="A210" s="57" t="s">
        <v>793</v>
      </c>
      <c r="B210" s="57" t="s">
        <v>789</v>
      </c>
      <c r="C210" s="57" t="s">
        <v>394</v>
      </c>
      <c r="D210" s="57" t="s">
        <v>284</v>
      </c>
      <c r="E210" s="57" t="s">
        <v>726</v>
      </c>
    </row>
    <row r="211" spans="1:5" x14ac:dyDescent="0.35">
      <c r="A211" s="57" t="s">
        <v>794</v>
      </c>
      <c r="B211" s="57" t="s">
        <v>795</v>
      </c>
      <c r="C211" s="57" t="s">
        <v>394</v>
      </c>
      <c r="D211" s="57" t="s">
        <v>284</v>
      </c>
      <c r="E211" s="57" t="s">
        <v>179</v>
      </c>
    </row>
    <row r="212" spans="1:5" x14ac:dyDescent="0.35">
      <c r="A212" s="57" t="s">
        <v>796</v>
      </c>
      <c r="B212" s="57" t="s">
        <v>797</v>
      </c>
      <c r="C212" s="57" t="s">
        <v>394</v>
      </c>
      <c r="D212" s="57" t="s">
        <v>284</v>
      </c>
      <c r="E212" s="57" t="s">
        <v>179</v>
      </c>
    </row>
    <row r="213" spans="1:5" x14ac:dyDescent="0.35">
      <c r="A213" s="57" t="s">
        <v>798</v>
      </c>
      <c r="B213" s="57" t="s">
        <v>797</v>
      </c>
      <c r="C213" s="57" t="s">
        <v>394</v>
      </c>
      <c r="D213" s="57" t="s">
        <v>284</v>
      </c>
      <c r="E213" s="57" t="s">
        <v>465</v>
      </c>
    </row>
    <row r="214" spans="1:5" x14ac:dyDescent="0.35">
      <c r="A214" s="57" t="s">
        <v>799</v>
      </c>
      <c r="B214" s="57" t="s">
        <v>800</v>
      </c>
      <c r="C214" s="57" t="s">
        <v>394</v>
      </c>
      <c r="D214" s="57" t="s">
        <v>284</v>
      </c>
      <c r="E214" s="57" t="s">
        <v>179</v>
      </c>
    </row>
    <row r="215" spans="1:5" x14ac:dyDescent="0.35">
      <c r="A215" s="57" t="s">
        <v>801</v>
      </c>
      <c r="B215" s="57" t="s">
        <v>802</v>
      </c>
      <c r="C215" s="57" t="s">
        <v>394</v>
      </c>
      <c r="D215" s="57" t="s">
        <v>284</v>
      </c>
      <c r="E215" s="57" t="s">
        <v>423</v>
      </c>
    </row>
    <row r="216" spans="1:5" x14ac:dyDescent="0.35">
      <c r="A216" s="57" t="s">
        <v>803</v>
      </c>
      <c r="B216" s="57" t="s">
        <v>802</v>
      </c>
      <c r="C216" s="57" t="s">
        <v>394</v>
      </c>
      <c r="D216" s="57" t="s">
        <v>284</v>
      </c>
      <c r="E216" s="57" t="s">
        <v>480</v>
      </c>
    </row>
    <row r="217" spans="1:5" x14ac:dyDescent="0.35">
      <c r="A217" s="57" t="s">
        <v>804</v>
      </c>
      <c r="B217" s="57" t="s">
        <v>805</v>
      </c>
      <c r="C217" s="57" t="s">
        <v>394</v>
      </c>
      <c r="D217" s="57" t="s">
        <v>284</v>
      </c>
      <c r="E217" s="57" t="s">
        <v>179</v>
      </c>
    </row>
    <row r="218" spans="1:5" x14ac:dyDescent="0.35">
      <c r="A218" s="57" t="s">
        <v>806</v>
      </c>
      <c r="B218" s="57" t="s">
        <v>807</v>
      </c>
      <c r="C218" s="57" t="s">
        <v>394</v>
      </c>
      <c r="D218" s="57" t="s">
        <v>284</v>
      </c>
      <c r="E218" s="57" t="s">
        <v>423</v>
      </c>
    </row>
    <row r="219" spans="1:5" x14ac:dyDescent="0.35">
      <c r="A219" s="57" t="s">
        <v>808</v>
      </c>
      <c r="B219" s="57" t="s">
        <v>809</v>
      </c>
      <c r="C219" s="57" t="s">
        <v>394</v>
      </c>
      <c r="D219" s="57" t="s">
        <v>284</v>
      </c>
      <c r="E219" s="57" t="s">
        <v>423</v>
      </c>
    </row>
    <row r="220" spans="1:5" x14ac:dyDescent="0.35">
      <c r="A220" s="57" t="s">
        <v>810</v>
      </c>
      <c r="B220" s="57" t="s">
        <v>811</v>
      </c>
      <c r="C220" s="57" t="s">
        <v>394</v>
      </c>
      <c r="D220" s="57" t="s">
        <v>284</v>
      </c>
      <c r="E220" s="57" t="s">
        <v>423</v>
      </c>
    </row>
    <row r="221" spans="1:5" x14ac:dyDescent="0.35">
      <c r="A221" s="57" t="s">
        <v>812</v>
      </c>
      <c r="B221" s="57" t="s">
        <v>811</v>
      </c>
      <c r="C221" s="57" t="s">
        <v>394</v>
      </c>
      <c r="D221" s="57" t="s">
        <v>284</v>
      </c>
      <c r="E221" s="57" t="s">
        <v>813</v>
      </c>
    </row>
    <row r="222" spans="1:5" x14ac:dyDescent="0.35">
      <c r="A222" s="57" t="s">
        <v>814</v>
      </c>
      <c r="B222" s="57" t="s">
        <v>815</v>
      </c>
      <c r="C222" s="57" t="s">
        <v>394</v>
      </c>
      <c r="D222" s="57" t="s">
        <v>284</v>
      </c>
      <c r="E222" s="57" t="s">
        <v>423</v>
      </c>
    </row>
    <row r="223" spans="1:5" x14ac:dyDescent="0.35">
      <c r="A223" s="57" t="s">
        <v>816</v>
      </c>
      <c r="B223" s="57" t="s">
        <v>789</v>
      </c>
      <c r="C223" s="57" t="s">
        <v>394</v>
      </c>
      <c r="D223" s="57" t="s">
        <v>284</v>
      </c>
      <c r="E223" s="57" t="s">
        <v>179</v>
      </c>
    </row>
    <row r="224" spans="1:5" x14ac:dyDescent="0.35">
      <c r="A224" s="57" t="s">
        <v>817</v>
      </c>
      <c r="B224" s="57" t="s">
        <v>818</v>
      </c>
      <c r="C224" s="57" t="s">
        <v>394</v>
      </c>
      <c r="D224" s="57" t="s">
        <v>284</v>
      </c>
      <c r="E224" s="57" t="s">
        <v>508</v>
      </c>
    </row>
    <row r="225" spans="1:5" x14ac:dyDescent="0.35">
      <c r="A225" s="57" t="s">
        <v>819</v>
      </c>
      <c r="B225" s="57" t="s">
        <v>820</v>
      </c>
      <c r="C225" s="57" t="s">
        <v>394</v>
      </c>
      <c r="D225" s="57" t="s">
        <v>284</v>
      </c>
      <c r="E225" s="57" t="s">
        <v>423</v>
      </c>
    </row>
    <row r="226" spans="1:5" x14ac:dyDescent="0.35">
      <c r="A226" s="57" t="s">
        <v>821</v>
      </c>
      <c r="B226" s="57" t="s">
        <v>809</v>
      </c>
      <c r="C226" s="57" t="s">
        <v>394</v>
      </c>
      <c r="D226" s="57" t="s">
        <v>284</v>
      </c>
      <c r="E226" s="57" t="s">
        <v>423</v>
      </c>
    </row>
    <row r="227" spans="1:5" x14ac:dyDescent="0.35">
      <c r="A227" s="57" t="s">
        <v>822</v>
      </c>
      <c r="B227" s="57" t="s">
        <v>823</v>
      </c>
      <c r="C227" s="57" t="s">
        <v>394</v>
      </c>
      <c r="D227" s="57" t="s">
        <v>279</v>
      </c>
      <c r="E227" s="57" t="s">
        <v>423</v>
      </c>
    </row>
    <row r="228" spans="1:5" x14ac:dyDescent="0.35">
      <c r="A228" s="57" t="s">
        <v>824</v>
      </c>
      <c r="B228" s="57" t="s">
        <v>825</v>
      </c>
      <c r="C228" s="57" t="s">
        <v>394</v>
      </c>
      <c r="D228" s="57" t="s">
        <v>279</v>
      </c>
      <c r="E228" s="57" t="s">
        <v>397</v>
      </c>
    </row>
    <row r="229" spans="1:5" x14ac:dyDescent="0.35">
      <c r="A229" s="57" t="s">
        <v>826</v>
      </c>
      <c r="B229" s="57" t="s">
        <v>827</v>
      </c>
      <c r="C229" s="57" t="s">
        <v>394</v>
      </c>
      <c r="D229" s="57" t="s">
        <v>279</v>
      </c>
      <c r="E229" s="57" t="s">
        <v>179</v>
      </c>
    </row>
    <row r="230" spans="1:5" x14ac:dyDescent="0.35">
      <c r="A230" s="57" t="s">
        <v>828</v>
      </c>
      <c r="B230" s="57" t="s">
        <v>829</v>
      </c>
      <c r="C230" s="57" t="s">
        <v>394</v>
      </c>
      <c r="D230" s="57" t="s">
        <v>279</v>
      </c>
      <c r="E230" s="57" t="s">
        <v>423</v>
      </c>
    </row>
    <row r="231" spans="1:5" x14ac:dyDescent="0.35">
      <c r="A231" s="57" t="s">
        <v>830</v>
      </c>
      <c r="B231" s="57" t="s">
        <v>831</v>
      </c>
      <c r="C231" s="57" t="s">
        <v>394</v>
      </c>
      <c r="D231" s="57" t="s">
        <v>279</v>
      </c>
      <c r="E231" s="57" t="s">
        <v>423</v>
      </c>
    </row>
    <row r="232" spans="1:5" x14ac:dyDescent="0.35">
      <c r="A232" s="57" t="s">
        <v>832</v>
      </c>
      <c r="B232" s="57" t="s">
        <v>831</v>
      </c>
      <c r="C232" s="57" t="s">
        <v>394</v>
      </c>
      <c r="D232" s="57" t="s">
        <v>279</v>
      </c>
      <c r="E232" s="57" t="s">
        <v>480</v>
      </c>
    </row>
    <row r="233" spans="1:5" x14ac:dyDescent="0.35">
      <c r="A233" s="57" t="s">
        <v>833</v>
      </c>
      <c r="B233" s="57" t="s">
        <v>834</v>
      </c>
      <c r="C233" s="57" t="s">
        <v>394</v>
      </c>
      <c r="D233" s="57" t="s">
        <v>279</v>
      </c>
      <c r="E233" s="57" t="s">
        <v>179</v>
      </c>
    </row>
    <row r="234" spans="1:5" x14ac:dyDescent="0.35">
      <c r="A234" s="57" t="s">
        <v>835</v>
      </c>
      <c r="B234" s="57" t="s">
        <v>836</v>
      </c>
      <c r="C234" s="57" t="s">
        <v>394</v>
      </c>
      <c r="D234" s="57" t="s">
        <v>279</v>
      </c>
      <c r="E234" s="57" t="s">
        <v>423</v>
      </c>
    </row>
    <row r="235" spans="1:5" x14ac:dyDescent="0.35">
      <c r="A235" s="57" t="s">
        <v>837</v>
      </c>
      <c r="B235" s="57" t="s">
        <v>838</v>
      </c>
      <c r="C235" s="57" t="s">
        <v>394</v>
      </c>
      <c r="D235" s="57" t="s">
        <v>279</v>
      </c>
      <c r="E235" s="57" t="s">
        <v>423</v>
      </c>
    </row>
    <row r="236" spans="1:5" x14ac:dyDescent="0.35">
      <c r="A236" s="57" t="s">
        <v>839</v>
      </c>
      <c r="B236" s="57" t="s">
        <v>840</v>
      </c>
      <c r="C236" s="57" t="s">
        <v>394</v>
      </c>
      <c r="D236" s="57" t="s">
        <v>279</v>
      </c>
      <c r="E236" s="57" t="s">
        <v>423</v>
      </c>
    </row>
    <row r="237" spans="1:5" x14ac:dyDescent="0.35">
      <c r="A237" s="57" t="s">
        <v>841</v>
      </c>
      <c r="B237" s="57" t="s">
        <v>840</v>
      </c>
      <c r="C237" s="57" t="s">
        <v>394</v>
      </c>
      <c r="D237" s="57" t="s">
        <v>279</v>
      </c>
      <c r="E237" s="57" t="s">
        <v>480</v>
      </c>
    </row>
    <row r="238" spans="1:5" x14ac:dyDescent="0.35">
      <c r="A238" s="57" t="s">
        <v>842</v>
      </c>
      <c r="B238" s="57" t="s">
        <v>843</v>
      </c>
      <c r="C238" s="57" t="s">
        <v>394</v>
      </c>
      <c r="D238" s="57" t="s">
        <v>279</v>
      </c>
      <c r="E238" s="57" t="s">
        <v>423</v>
      </c>
    </row>
    <row r="239" spans="1:5" x14ac:dyDescent="0.35">
      <c r="A239" s="57" t="s">
        <v>844</v>
      </c>
      <c r="B239" s="57" t="s">
        <v>845</v>
      </c>
      <c r="C239" s="57" t="s">
        <v>394</v>
      </c>
      <c r="D239" s="57" t="s">
        <v>279</v>
      </c>
      <c r="E239" s="57" t="s">
        <v>397</v>
      </c>
    </row>
    <row r="240" spans="1:5" x14ac:dyDescent="0.35">
      <c r="A240" s="57" t="s">
        <v>846</v>
      </c>
      <c r="B240" s="57" t="s">
        <v>847</v>
      </c>
      <c r="C240" s="57" t="s">
        <v>394</v>
      </c>
      <c r="D240" s="57" t="s">
        <v>279</v>
      </c>
      <c r="E240" s="57" t="s">
        <v>179</v>
      </c>
    </row>
    <row r="241" spans="1:5" x14ac:dyDescent="0.35">
      <c r="A241" s="57" t="s">
        <v>848</v>
      </c>
      <c r="B241" s="57" t="s">
        <v>847</v>
      </c>
      <c r="C241" s="57" t="s">
        <v>394</v>
      </c>
      <c r="D241" s="57" t="s">
        <v>279</v>
      </c>
      <c r="E241" s="57" t="s">
        <v>179</v>
      </c>
    </row>
    <row r="242" spans="1:5" x14ac:dyDescent="0.35">
      <c r="A242" s="57" t="s">
        <v>849</v>
      </c>
      <c r="B242" s="57" t="s">
        <v>847</v>
      </c>
      <c r="C242" s="57" t="s">
        <v>394</v>
      </c>
      <c r="D242" s="57" t="s">
        <v>279</v>
      </c>
      <c r="E242" s="57" t="s">
        <v>179</v>
      </c>
    </row>
    <row r="243" spans="1:5" x14ac:dyDescent="0.35">
      <c r="A243" s="57" t="s">
        <v>850</v>
      </c>
      <c r="B243" s="57" t="s">
        <v>851</v>
      </c>
      <c r="C243" s="57" t="s">
        <v>394</v>
      </c>
      <c r="D243" s="57" t="s">
        <v>279</v>
      </c>
      <c r="E243" s="57" t="s">
        <v>179</v>
      </c>
    </row>
    <row r="244" spans="1:5" x14ac:dyDescent="0.35">
      <c r="A244" s="57" t="s">
        <v>852</v>
      </c>
      <c r="B244" s="57" t="s">
        <v>851</v>
      </c>
      <c r="C244" s="57" t="s">
        <v>394</v>
      </c>
      <c r="D244" s="57" t="s">
        <v>279</v>
      </c>
      <c r="E244" s="57" t="s">
        <v>423</v>
      </c>
    </row>
    <row r="245" spans="1:5" x14ac:dyDescent="0.35">
      <c r="A245" s="57" t="s">
        <v>853</v>
      </c>
      <c r="B245" s="57" t="s">
        <v>854</v>
      </c>
      <c r="C245" s="57" t="s">
        <v>394</v>
      </c>
      <c r="D245" s="57" t="s">
        <v>279</v>
      </c>
      <c r="E245" s="57" t="s">
        <v>179</v>
      </c>
    </row>
    <row r="246" spans="1:5" x14ac:dyDescent="0.35">
      <c r="A246" s="57" t="s">
        <v>855</v>
      </c>
      <c r="B246" s="57" t="s">
        <v>856</v>
      </c>
      <c r="C246" s="57" t="s">
        <v>394</v>
      </c>
      <c r="D246" s="57" t="s">
        <v>279</v>
      </c>
      <c r="E246" s="57" t="s">
        <v>423</v>
      </c>
    </row>
    <row r="247" spans="1:5" x14ac:dyDescent="0.35">
      <c r="A247" s="57" t="s">
        <v>857</v>
      </c>
      <c r="B247" s="57" t="s">
        <v>858</v>
      </c>
      <c r="C247" s="57" t="s">
        <v>394</v>
      </c>
      <c r="D247" s="57" t="s">
        <v>279</v>
      </c>
      <c r="E247" s="57" t="s">
        <v>423</v>
      </c>
    </row>
    <row r="248" spans="1:5" x14ac:dyDescent="0.35">
      <c r="A248" s="57" t="s">
        <v>859</v>
      </c>
      <c r="B248" s="57" t="s">
        <v>860</v>
      </c>
      <c r="C248" s="57" t="s">
        <v>394</v>
      </c>
      <c r="D248" s="57" t="s">
        <v>279</v>
      </c>
      <c r="E248" s="57" t="s">
        <v>423</v>
      </c>
    </row>
    <row r="249" spans="1:5" x14ac:dyDescent="0.35">
      <c r="A249" s="57" t="s">
        <v>861</v>
      </c>
      <c r="B249" s="57" t="s">
        <v>862</v>
      </c>
      <c r="C249" s="57" t="s">
        <v>394</v>
      </c>
      <c r="D249" s="57" t="s">
        <v>279</v>
      </c>
      <c r="E249" s="57" t="s">
        <v>179</v>
      </c>
    </row>
    <row r="250" spans="1:5" x14ac:dyDescent="0.35">
      <c r="A250" s="57" t="s">
        <v>863</v>
      </c>
      <c r="B250" s="57" t="s">
        <v>864</v>
      </c>
      <c r="C250" s="57" t="s">
        <v>394</v>
      </c>
      <c r="D250" s="57" t="s">
        <v>279</v>
      </c>
      <c r="E250" s="57" t="s">
        <v>397</v>
      </c>
    </row>
    <row r="251" spans="1:5" x14ac:dyDescent="0.35">
      <c r="A251" s="57" t="s">
        <v>865</v>
      </c>
      <c r="B251" s="57" t="s">
        <v>866</v>
      </c>
      <c r="C251" s="57" t="s">
        <v>394</v>
      </c>
      <c r="D251" s="57" t="s">
        <v>279</v>
      </c>
      <c r="E251" s="57" t="s">
        <v>179</v>
      </c>
    </row>
    <row r="252" spans="1:5" x14ac:dyDescent="0.35">
      <c r="A252" s="57" t="s">
        <v>867</v>
      </c>
      <c r="B252" s="57" t="s">
        <v>868</v>
      </c>
      <c r="C252" s="57" t="s">
        <v>394</v>
      </c>
      <c r="D252" s="57" t="s">
        <v>279</v>
      </c>
      <c r="E252" s="57" t="s">
        <v>423</v>
      </c>
    </row>
    <row r="253" spans="1:5" x14ac:dyDescent="0.35">
      <c r="A253" s="57" t="s">
        <v>869</v>
      </c>
      <c r="B253" s="57" t="s">
        <v>870</v>
      </c>
      <c r="C253" s="57" t="s">
        <v>394</v>
      </c>
      <c r="D253" s="57" t="s">
        <v>279</v>
      </c>
      <c r="E253" s="57" t="s">
        <v>179</v>
      </c>
    </row>
    <row r="254" spans="1:5" x14ac:dyDescent="0.35">
      <c r="A254" s="57" t="s">
        <v>871</v>
      </c>
      <c r="B254" s="57" t="s">
        <v>872</v>
      </c>
      <c r="C254" s="57" t="s">
        <v>394</v>
      </c>
      <c r="D254" s="57" t="s">
        <v>279</v>
      </c>
      <c r="E254" s="57" t="s">
        <v>423</v>
      </c>
    </row>
    <row r="255" spans="1:5" x14ac:dyDescent="0.35">
      <c r="A255" s="57" t="s">
        <v>873</v>
      </c>
      <c r="B255" s="57" t="s">
        <v>874</v>
      </c>
      <c r="C255" s="57" t="s">
        <v>394</v>
      </c>
      <c r="D255" s="57" t="s">
        <v>279</v>
      </c>
      <c r="E255" s="57" t="s">
        <v>423</v>
      </c>
    </row>
    <row r="256" spans="1:5" x14ac:dyDescent="0.35">
      <c r="A256" s="57" t="s">
        <v>875</v>
      </c>
      <c r="B256" s="57" t="s">
        <v>876</v>
      </c>
      <c r="C256" s="57" t="s">
        <v>394</v>
      </c>
      <c r="D256" s="57" t="s">
        <v>281</v>
      </c>
      <c r="E256" s="57" t="s">
        <v>423</v>
      </c>
    </row>
    <row r="257" spans="1:5" x14ac:dyDescent="0.35">
      <c r="A257" s="57" t="s">
        <v>877</v>
      </c>
      <c r="B257" s="57" t="s">
        <v>876</v>
      </c>
      <c r="C257" s="57" t="s">
        <v>394</v>
      </c>
      <c r="D257" s="57" t="s">
        <v>281</v>
      </c>
      <c r="E257" s="57" t="s">
        <v>480</v>
      </c>
    </row>
    <row r="258" spans="1:5" x14ac:dyDescent="0.35">
      <c r="A258" s="57" t="s">
        <v>878</v>
      </c>
      <c r="B258" s="57" t="s">
        <v>879</v>
      </c>
      <c r="C258" s="57" t="s">
        <v>394</v>
      </c>
      <c r="D258" s="57" t="s">
        <v>281</v>
      </c>
      <c r="E258" s="57" t="s">
        <v>642</v>
      </c>
    </row>
    <row r="259" spans="1:5" x14ac:dyDescent="0.35">
      <c r="A259" s="57" t="s">
        <v>880</v>
      </c>
      <c r="B259" s="57" t="s">
        <v>881</v>
      </c>
      <c r="C259" s="57" t="s">
        <v>394</v>
      </c>
      <c r="D259" s="57" t="s">
        <v>281</v>
      </c>
      <c r="E259" s="57" t="s">
        <v>423</v>
      </c>
    </row>
    <row r="260" spans="1:5" x14ac:dyDescent="0.35">
      <c r="A260" s="57" t="s">
        <v>882</v>
      </c>
      <c r="B260" s="57" t="s">
        <v>883</v>
      </c>
      <c r="C260" s="57" t="s">
        <v>394</v>
      </c>
      <c r="D260" s="57" t="s">
        <v>281</v>
      </c>
      <c r="E260" s="57" t="s">
        <v>423</v>
      </c>
    </row>
    <row r="261" spans="1:5" x14ac:dyDescent="0.35">
      <c r="A261" s="57" t="s">
        <v>884</v>
      </c>
      <c r="B261" s="57" t="s">
        <v>885</v>
      </c>
      <c r="C261" s="57" t="s">
        <v>394</v>
      </c>
      <c r="D261" s="57" t="s">
        <v>281</v>
      </c>
      <c r="E261" s="57" t="s">
        <v>423</v>
      </c>
    </row>
    <row r="262" spans="1:5" x14ac:dyDescent="0.35">
      <c r="A262" s="57" t="s">
        <v>886</v>
      </c>
      <c r="B262" s="57" t="s">
        <v>887</v>
      </c>
      <c r="C262" s="57" t="s">
        <v>394</v>
      </c>
      <c r="D262" s="57" t="s">
        <v>281</v>
      </c>
      <c r="E262" s="57" t="s">
        <v>490</v>
      </c>
    </row>
    <row r="263" spans="1:5" x14ac:dyDescent="0.35">
      <c r="A263" s="57" t="s">
        <v>888</v>
      </c>
      <c r="B263" s="57" t="s">
        <v>887</v>
      </c>
      <c r="C263" s="57" t="s">
        <v>394</v>
      </c>
      <c r="D263" s="57" t="s">
        <v>281</v>
      </c>
      <c r="E263" s="57" t="s">
        <v>490</v>
      </c>
    </row>
    <row r="264" spans="1:5" x14ac:dyDescent="0.35">
      <c r="A264" s="57" t="s">
        <v>889</v>
      </c>
      <c r="B264" s="57" t="s">
        <v>890</v>
      </c>
      <c r="C264" s="57" t="s">
        <v>394</v>
      </c>
      <c r="D264" s="57" t="s">
        <v>281</v>
      </c>
      <c r="E264" s="57" t="s">
        <v>397</v>
      </c>
    </row>
    <row r="265" spans="1:5" x14ac:dyDescent="0.35">
      <c r="A265" s="57" t="s">
        <v>891</v>
      </c>
      <c r="B265" s="57" t="s">
        <v>892</v>
      </c>
      <c r="C265" s="57" t="s">
        <v>394</v>
      </c>
      <c r="D265" s="57" t="s">
        <v>281</v>
      </c>
      <c r="E265" s="57" t="s">
        <v>423</v>
      </c>
    </row>
    <row r="266" spans="1:5" x14ac:dyDescent="0.35">
      <c r="A266" s="57" t="s">
        <v>893</v>
      </c>
      <c r="B266" s="57" t="s">
        <v>894</v>
      </c>
      <c r="C266" s="57" t="s">
        <v>394</v>
      </c>
      <c r="D266" s="57" t="s">
        <v>281</v>
      </c>
      <c r="E266" s="57" t="s">
        <v>423</v>
      </c>
    </row>
    <row r="267" spans="1:5" x14ac:dyDescent="0.35">
      <c r="A267" s="57" t="s">
        <v>895</v>
      </c>
      <c r="B267" s="57" t="s">
        <v>896</v>
      </c>
      <c r="C267" s="57" t="s">
        <v>394</v>
      </c>
      <c r="D267" s="57" t="s">
        <v>281</v>
      </c>
      <c r="E267" s="57" t="s">
        <v>423</v>
      </c>
    </row>
    <row r="268" spans="1:5" x14ac:dyDescent="0.35">
      <c r="A268" s="57" t="s">
        <v>897</v>
      </c>
      <c r="B268" s="57" t="s">
        <v>898</v>
      </c>
      <c r="C268" s="57" t="s">
        <v>394</v>
      </c>
      <c r="D268" s="57" t="s">
        <v>281</v>
      </c>
      <c r="E268" s="57" t="s">
        <v>423</v>
      </c>
    </row>
    <row r="269" spans="1:5" x14ac:dyDescent="0.35">
      <c r="A269" s="57" t="s">
        <v>899</v>
      </c>
      <c r="B269" s="57" t="s">
        <v>900</v>
      </c>
      <c r="C269" s="57" t="s">
        <v>394</v>
      </c>
      <c r="D269" s="57" t="s">
        <v>281</v>
      </c>
      <c r="E269" s="57" t="s">
        <v>423</v>
      </c>
    </row>
    <row r="270" spans="1:5" x14ac:dyDescent="0.35">
      <c r="A270" s="57" t="s">
        <v>901</v>
      </c>
      <c r="B270" s="57" t="s">
        <v>902</v>
      </c>
      <c r="C270" s="57" t="s">
        <v>394</v>
      </c>
      <c r="D270" s="57" t="s">
        <v>281</v>
      </c>
      <c r="E270" s="57" t="s">
        <v>423</v>
      </c>
    </row>
    <row r="271" spans="1:5" x14ac:dyDescent="0.35">
      <c r="A271" s="57" t="s">
        <v>903</v>
      </c>
      <c r="B271" s="57" t="s">
        <v>904</v>
      </c>
      <c r="C271" s="57" t="s">
        <v>394</v>
      </c>
      <c r="D271" s="57" t="s">
        <v>274</v>
      </c>
      <c r="E271" s="57" t="s">
        <v>905</v>
      </c>
    </row>
    <row r="272" spans="1:5" x14ac:dyDescent="0.35">
      <c r="A272" s="57" t="s">
        <v>906</v>
      </c>
      <c r="B272" s="57" t="s">
        <v>907</v>
      </c>
      <c r="C272" s="57" t="s">
        <v>394</v>
      </c>
      <c r="D272" s="57" t="s">
        <v>281</v>
      </c>
      <c r="E272" s="57" t="s">
        <v>423</v>
      </c>
    </row>
    <row r="273" spans="1:5" x14ac:dyDescent="0.35">
      <c r="A273" s="57" t="s">
        <v>908</v>
      </c>
      <c r="B273" s="57" t="s">
        <v>909</v>
      </c>
      <c r="C273" s="57" t="s">
        <v>394</v>
      </c>
      <c r="D273" s="57" t="s">
        <v>281</v>
      </c>
      <c r="E273" s="57" t="s">
        <v>423</v>
      </c>
    </row>
    <row r="274" spans="1:5" x14ac:dyDescent="0.35">
      <c r="A274" s="57" t="s">
        <v>910</v>
      </c>
      <c r="B274" s="57" t="s">
        <v>911</v>
      </c>
      <c r="C274" s="57" t="s">
        <v>394</v>
      </c>
      <c r="D274" s="57" t="s">
        <v>281</v>
      </c>
      <c r="E274" s="57" t="s">
        <v>179</v>
      </c>
    </row>
    <row r="275" spans="1:5" x14ac:dyDescent="0.35">
      <c r="A275" s="57" t="s">
        <v>912</v>
      </c>
      <c r="B275" s="57" t="s">
        <v>913</v>
      </c>
      <c r="C275" s="57" t="s">
        <v>394</v>
      </c>
      <c r="D275" s="57" t="s">
        <v>281</v>
      </c>
      <c r="E275" s="57" t="s">
        <v>423</v>
      </c>
    </row>
    <row r="276" spans="1:5" x14ac:dyDescent="0.35">
      <c r="A276" s="57" t="s">
        <v>914</v>
      </c>
      <c r="B276" s="57" t="s">
        <v>915</v>
      </c>
      <c r="C276" s="57" t="s">
        <v>394</v>
      </c>
      <c r="D276" s="57" t="s">
        <v>281</v>
      </c>
      <c r="E276" s="57" t="s">
        <v>179</v>
      </c>
    </row>
    <row r="277" spans="1:5" x14ac:dyDescent="0.35">
      <c r="A277" s="57" t="s">
        <v>916</v>
      </c>
      <c r="B277" s="57" t="s">
        <v>917</v>
      </c>
      <c r="C277" s="57" t="s">
        <v>394</v>
      </c>
      <c r="D277" s="57" t="s">
        <v>131</v>
      </c>
      <c r="E277" s="57" t="s">
        <v>179</v>
      </c>
    </row>
    <row r="278" spans="1:5" x14ac:dyDescent="0.35">
      <c r="A278" s="57" t="s">
        <v>918</v>
      </c>
      <c r="B278" s="57" t="s">
        <v>919</v>
      </c>
      <c r="C278" s="57" t="s">
        <v>394</v>
      </c>
      <c r="D278" s="57" t="s">
        <v>278</v>
      </c>
      <c r="E278" s="57" t="s">
        <v>905</v>
      </c>
    </row>
    <row r="279" spans="1:5" x14ac:dyDescent="0.35">
      <c r="A279" s="57" t="s">
        <v>920</v>
      </c>
      <c r="B279" s="57" t="s">
        <v>921</v>
      </c>
      <c r="C279" s="57" t="s">
        <v>394</v>
      </c>
      <c r="D279" s="57" t="s">
        <v>281</v>
      </c>
      <c r="E279" s="57" t="s">
        <v>905</v>
      </c>
    </row>
    <row r="280" spans="1:5" x14ac:dyDescent="0.35">
      <c r="A280" s="57" t="s">
        <v>922</v>
      </c>
      <c r="B280" s="57" t="s">
        <v>923</v>
      </c>
      <c r="C280" s="57" t="s">
        <v>394</v>
      </c>
      <c r="D280" s="57" t="s">
        <v>281</v>
      </c>
      <c r="E280" s="57" t="s">
        <v>423</v>
      </c>
    </row>
    <row r="281" spans="1:5" x14ac:dyDescent="0.35">
      <c r="A281" s="57" t="s">
        <v>924</v>
      </c>
      <c r="B281" s="57" t="s">
        <v>925</v>
      </c>
      <c r="C281" s="57" t="s">
        <v>394</v>
      </c>
      <c r="D281" s="57" t="s">
        <v>281</v>
      </c>
      <c r="E281" s="57" t="s">
        <v>423</v>
      </c>
    </row>
    <row r="282" spans="1:5" x14ac:dyDescent="0.35">
      <c r="A282" s="57" t="s">
        <v>926</v>
      </c>
      <c r="B282" s="57" t="s">
        <v>925</v>
      </c>
      <c r="C282" s="57" t="s">
        <v>394</v>
      </c>
      <c r="D282" s="57" t="s">
        <v>281</v>
      </c>
      <c r="E282" s="57" t="s">
        <v>480</v>
      </c>
    </row>
    <row r="283" spans="1:5" x14ac:dyDescent="0.35">
      <c r="A283" s="57" t="s">
        <v>927</v>
      </c>
      <c r="B283" s="57" t="s">
        <v>928</v>
      </c>
      <c r="C283" s="57" t="s">
        <v>394</v>
      </c>
      <c r="D283" s="57" t="s">
        <v>281</v>
      </c>
      <c r="E283" s="57" t="s">
        <v>179</v>
      </c>
    </row>
    <row r="284" spans="1:5" x14ac:dyDescent="0.35">
      <c r="A284" s="57" t="s">
        <v>929</v>
      </c>
      <c r="B284" s="57" t="s">
        <v>928</v>
      </c>
      <c r="C284" s="57" t="s">
        <v>394</v>
      </c>
      <c r="D284" s="57" t="s">
        <v>281</v>
      </c>
      <c r="E284" s="57" t="s">
        <v>179</v>
      </c>
    </row>
    <row r="285" spans="1:5" x14ac:dyDescent="0.35">
      <c r="A285" s="57" t="s">
        <v>930</v>
      </c>
      <c r="B285" s="57" t="s">
        <v>931</v>
      </c>
      <c r="C285" s="57" t="s">
        <v>394</v>
      </c>
      <c r="D285" s="57" t="s">
        <v>281</v>
      </c>
      <c r="E285" s="57" t="s">
        <v>423</v>
      </c>
    </row>
    <row r="286" spans="1:5" x14ac:dyDescent="0.35">
      <c r="A286" s="57" t="s">
        <v>932</v>
      </c>
      <c r="B286" s="57" t="s">
        <v>933</v>
      </c>
      <c r="C286" s="57" t="s">
        <v>394</v>
      </c>
      <c r="D286" s="57" t="s">
        <v>281</v>
      </c>
      <c r="E286" s="57" t="s">
        <v>423</v>
      </c>
    </row>
    <row r="287" spans="1:5" x14ac:dyDescent="0.35">
      <c r="A287" s="57" t="s">
        <v>934</v>
      </c>
      <c r="B287" s="57" t="s">
        <v>935</v>
      </c>
      <c r="C287" s="57" t="s">
        <v>394</v>
      </c>
      <c r="D287" s="57" t="s">
        <v>281</v>
      </c>
      <c r="E287" s="57" t="s">
        <v>905</v>
      </c>
    </row>
    <row r="288" spans="1:5" x14ac:dyDescent="0.35">
      <c r="A288" s="57" t="s">
        <v>936</v>
      </c>
      <c r="B288" s="57" t="s">
        <v>937</v>
      </c>
      <c r="C288" s="57" t="s">
        <v>394</v>
      </c>
      <c r="D288" s="57" t="s">
        <v>281</v>
      </c>
      <c r="E288" s="57" t="s">
        <v>905</v>
      </c>
    </row>
    <row r="289" spans="1:5" x14ac:dyDescent="0.35">
      <c r="A289" s="57" t="s">
        <v>938</v>
      </c>
      <c r="B289" s="57" t="s">
        <v>939</v>
      </c>
      <c r="C289" s="57" t="s">
        <v>394</v>
      </c>
      <c r="D289" s="57" t="s">
        <v>281</v>
      </c>
      <c r="E289" s="57" t="s">
        <v>423</v>
      </c>
    </row>
    <row r="290" spans="1:5" x14ac:dyDescent="0.35">
      <c r="A290" s="57" t="s">
        <v>940</v>
      </c>
      <c r="B290" s="57" t="s">
        <v>941</v>
      </c>
      <c r="C290" s="57" t="s">
        <v>394</v>
      </c>
      <c r="D290" s="57" t="s">
        <v>281</v>
      </c>
      <c r="E290" s="57" t="s">
        <v>179</v>
      </c>
    </row>
    <row r="291" spans="1:5" x14ac:dyDescent="0.35">
      <c r="A291" s="57" t="s">
        <v>942</v>
      </c>
      <c r="B291" s="57" t="s">
        <v>943</v>
      </c>
      <c r="C291" s="57" t="s">
        <v>394</v>
      </c>
      <c r="D291" s="57" t="s">
        <v>281</v>
      </c>
      <c r="E291" s="57" t="s">
        <v>397</v>
      </c>
    </row>
    <row r="292" spans="1:5" x14ac:dyDescent="0.35">
      <c r="A292" s="57" t="s">
        <v>944</v>
      </c>
      <c r="B292" s="57" t="s">
        <v>945</v>
      </c>
      <c r="C292" s="57" t="s">
        <v>394</v>
      </c>
      <c r="D292" s="57" t="s">
        <v>281</v>
      </c>
      <c r="E292" s="57" t="s">
        <v>423</v>
      </c>
    </row>
    <row r="293" spans="1:5" x14ac:dyDescent="0.35">
      <c r="A293" s="57" t="s">
        <v>946</v>
      </c>
      <c r="B293" s="57" t="s">
        <v>947</v>
      </c>
      <c r="C293" s="57" t="s">
        <v>394</v>
      </c>
      <c r="D293" s="57" t="s">
        <v>281</v>
      </c>
      <c r="E293" s="57" t="s">
        <v>423</v>
      </c>
    </row>
    <row r="294" spans="1:5" x14ac:dyDescent="0.35">
      <c r="A294" s="57" t="s">
        <v>948</v>
      </c>
      <c r="B294" s="57" t="s">
        <v>949</v>
      </c>
      <c r="C294" s="57" t="s">
        <v>394</v>
      </c>
      <c r="D294" s="57" t="s">
        <v>281</v>
      </c>
      <c r="E294" s="57" t="s">
        <v>179</v>
      </c>
    </row>
    <row r="295" spans="1:5" x14ac:dyDescent="0.35">
      <c r="A295" s="57" t="s">
        <v>950</v>
      </c>
      <c r="B295" s="57" t="s">
        <v>949</v>
      </c>
      <c r="C295" s="57" t="s">
        <v>394</v>
      </c>
      <c r="D295" s="57" t="s">
        <v>281</v>
      </c>
      <c r="E295" s="57" t="s">
        <v>179</v>
      </c>
    </row>
    <row r="296" spans="1:5" x14ac:dyDescent="0.35">
      <c r="A296" s="57" t="s">
        <v>951</v>
      </c>
      <c r="B296" s="57" t="s">
        <v>952</v>
      </c>
      <c r="C296" s="57" t="s">
        <v>394</v>
      </c>
      <c r="D296" s="57" t="s">
        <v>281</v>
      </c>
      <c r="E296" s="57" t="s">
        <v>423</v>
      </c>
    </row>
    <row r="297" spans="1:5" x14ac:dyDescent="0.35">
      <c r="A297" s="57" t="s">
        <v>953</v>
      </c>
      <c r="B297" s="57" t="s">
        <v>954</v>
      </c>
      <c r="C297" s="57" t="s">
        <v>394</v>
      </c>
      <c r="D297" s="57" t="s">
        <v>281</v>
      </c>
      <c r="E297" s="57" t="s">
        <v>423</v>
      </c>
    </row>
    <row r="298" spans="1:5" x14ac:dyDescent="0.35">
      <c r="A298" s="57" t="s">
        <v>955</v>
      </c>
      <c r="B298" s="57" t="s">
        <v>956</v>
      </c>
      <c r="C298" s="57" t="s">
        <v>394</v>
      </c>
      <c r="D298" s="57" t="s">
        <v>281</v>
      </c>
      <c r="E298" s="57" t="s">
        <v>423</v>
      </c>
    </row>
    <row r="299" spans="1:5" x14ac:dyDescent="0.35">
      <c r="A299" s="57" t="s">
        <v>957</v>
      </c>
      <c r="B299" s="57" t="s">
        <v>958</v>
      </c>
      <c r="C299" s="57" t="s">
        <v>394</v>
      </c>
      <c r="D299" s="57" t="s">
        <v>281</v>
      </c>
      <c r="E299" s="57" t="s">
        <v>905</v>
      </c>
    </row>
    <row r="300" spans="1:5" x14ac:dyDescent="0.35">
      <c r="A300" s="57" t="s">
        <v>959</v>
      </c>
      <c r="B300" s="57" t="s">
        <v>960</v>
      </c>
      <c r="C300" s="57" t="s">
        <v>394</v>
      </c>
      <c r="D300" s="57" t="s">
        <v>281</v>
      </c>
      <c r="E300" s="57" t="s">
        <v>423</v>
      </c>
    </row>
    <row r="301" spans="1:5" x14ac:dyDescent="0.35">
      <c r="A301" s="57" t="s">
        <v>961</v>
      </c>
      <c r="B301" s="57" t="s">
        <v>962</v>
      </c>
      <c r="C301" s="57" t="s">
        <v>394</v>
      </c>
      <c r="D301" s="57" t="s">
        <v>281</v>
      </c>
      <c r="E301" s="57" t="s">
        <v>179</v>
      </c>
    </row>
    <row r="302" spans="1:5" x14ac:dyDescent="0.35">
      <c r="A302" s="57" t="s">
        <v>963</v>
      </c>
      <c r="B302" s="57" t="s">
        <v>962</v>
      </c>
      <c r="C302" s="57" t="s">
        <v>394</v>
      </c>
      <c r="D302" s="57" t="s">
        <v>281</v>
      </c>
      <c r="E302" s="57" t="s">
        <v>964</v>
      </c>
    </row>
    <row r="303" spans="1:5" x14ac:dyDescent="0.35">
      <c r="A303" s="57" t="s">
        <v>965</v>
      </c>
      <c r="B303" s="57" t="s">
        <v>966</v>
      </c>
      <c r="C303" s="57" t="s">
        <v>394</v>
      </c>
      <c r="D303" s="57" t="s">
        <v>281</v>
      </c>
      <c r="E303" s="57" t="s">
        <v>423</v>
      </c>
    </row>
    <row r="304" spans="1:5" x14ac:dyDescent="0.35">
      <c r="A304" s="57" t="s">
        <v>967</v>
      </c>
      <c r="B304" s="57" t="s">
        <v>968</v>
      </c>
      <c r="C304" s="57" t="s">
        <v>394</v>
      </c>
      <c r="D304" s="57" t="s">
        <v>281</v>
      </c>
      <c r="E304" s="57" t="s">
        <v>528</v>
      </c>
    </row>
    <row r="305" spans="1:5" x14ac:dyDescent="0.35">
      <c r="A305" s="57" t="s">
        <v>969</v>
      </c>
      <c r="B305" s="57" t="s">
        <v>970</v>
      </c>
      <c r="C305" s="57" t="s">
        <v>394</v>
      </c>
      <c r="D305" s="57" t="s">
        <v>281</v>
      </c>
      <c r="E305" s="57" t="s">
        <v>179</v>
      </c>
    </row>
    <row r="306" spans="1:5" x14ac:dyDescent="0.35">
      <c r="A306" s="57" t="s">
        <v>971</v>
      </c>
      <c r="B306" s="57" t="s">
        <v>972</v>
      </c>
      <c r="C306" s="57" t="s">
        <v>394</v>
      </c>
      <c r="D306" s="57" t="s">
        <v>281</v>
      </c>
      <c r="E306" s="57" t="s">
        <v>490</v>
      </c>
    </row>
    <row r="307" spans="1:5" x14ac:dyDescent="0.35">
      <c r="A307" s="57" t="s">
        <v>973</v>
      </c>
      <c r="B307" s="57" t="s">
        <v>968</v>
      </c>
      <c r="C307" s="57" t="s">
        <v>394</v>
      </c>
      <c r="D307" s="57" t="s">
        <v>281</v>
      </c>
      <c r="E307" s="57" t="s">
        <v>528</v>
      </c>
    </row>
    <row r="308" spans="1:5" x14ac:dyDescent="0.35">
      <c r="A308" s="57" t="s">
        <v>974</v>
      </c>
      <c r="B308" s="57" t="s">
        <v>975</v>
      </c>
      <c r="C308" s="57" t="s">
        <v>394</v>
      </c>
      <c r="D308" s="57" t="s">
        <v>281</v>
      </c>
      <c r="E308" s="57" t="s">
        <v>536</v>
      </c>
    </row>
    <row r="309" spans="1:5" x14ac:dyDescent="0.35">
      <c r="A309" s="57" t="s">
        <v>976</v>
      </c>
      <c r="B309" s="57" t="s">
        <v>977</v>
      </c>
      <c r="C309" s="57" t="s">
        <v>394</v>
      </c>
      <c r="D309" s="57" t="s">
        <v>281</v>
      </c>
      <c r="E309" s="57" t="s">
        <v>536</v>
      </c>
    </row>
    <row r="310" spans="1:5" x14ac:dyDescent="0.35">
      <c r="A310" s="57" t="s">
        <v>978</v>
      </c>
      <c r="B310" s="57" t="s">
        <v>979</v>
      </c>
      <c r="C310" s="57" t="s">
        <v>394</v>
      </c>
      <c r="D310" s="57" t="s">
        <v>281</v>
      </c>
      <c r="E310" s="57" t="s">
        <v>536</v>
      </c>
    </row>
    <row r="311" spans="1:5" x14ac:dyDescent="0.35">
      <c r="A311" s="57" t="s">
        <v>980</v>
      </c>
      <c r="B311" s="57" t="s">
        <v>981</v>
      </c>
      <c r="C311" s="57" t="s">
        <v>394</v>
      </c>
      <c r="D311" s="57" t="s">
        <v>281</v>
      </c>
      <c r="E311" s="57" t="s">
        <v>536</v>
      </c>
    </row>
    <row r="312" spans="1:5" x14ac:dyDescent="0.35">
      <c r="A312" s="57" t="s">
        <v>982</v>
      </c>
      <c r="B312" s="57" t="s">
        <v>983</v>
      </c>
      <c r="C312" s="57" t="s">
        <v>394</v>
      </c>
      <c r="D312" s="57" t="s">
        <v>281</v>
      </c>
      <c r="E312" s="57" t="s">
        <v>536</v>
      </c>
    </row>
    <row r="313" spans="1:5" x14ac:dyDescent="0.35">
      <c r="A313" s="57" t="s">
        <v>984</v>
      </c>
      <c r="B313" s="57" t="s">
        <v>985</v>
      </c>
      <c r="C313" s="57" t="s">
        <v>394</v>
      </c>
      <c r="D313" s="57" t="s">
        <v>281</v>
      </c>
      <c r="E313" s="57" t="s">
        <v>536</v>
      </c>
    </row>
    <row r="314" spans="1:5" x14ac:dyDescent="0.35">
      <c r="A314" s="57" t="s">
        <v>986</v>
      </c>
      <c r="B314" s="57" t="s">
        <v>987</v>
      </c>
      <c r="C314" s="57" t="s">
        <v>394</v>
      </c>
      <c r="D314" s="57" t="s">
        <v>281</v>
      </c>
      <c r="E314" s="57" t="s">
        <v>536</v>
      </c>
    </row>
    <row r="315" spans="1:5" x14ac:dyDescent="0.35">
      <c r="A315" s="57" t="s">
        <v>988</v>
      </c>
      <c r="B315" s="57" t="s">
        <v>989</v>
      </c>
      <c r="C315" s="57" t="s">
        <v>394</v>
      </c>
      <c r="D315" s="57" t="s">
        <v>281</v>
      </c>
      <c r="E315" s="57" t="s">
        <v>536</v>
      </c>
    </row>
    <row r="316" spans="1:5" x14ac:dyDescent="0.35">
      <c r="A316" s="57" t="s">
        <v>990</v>
      </c>
      <c r="B316" s="57" t="s">
        <v>991</v>
      </c>
      <c r="C316" s="57" t="s">
        <v>394</v>
      </c>
      <c r="D316" s="57" t="s">
        <v>274</v>
      </c>
      <c r="E316" s="57" t="s">
        <v>423</v>
      </c>
    </row>
    <row r="317" spans="1:5" x14ac:dyDescent="0.35">
      <c r="A317" s="57" t="s">
        <v>992</v>
      </c>
      <c r="B317" s="57" t="s">
        <v>993</v>
      </c>
      <c r="C317" s="57" t="s">
        <v>394</v>
      </c>
      <c r="D317" s="57" t="s">
        <v>274</v>
      </c>
      <c r="E317" s="57" t="s">
        <v>423</v>
      </c>
    </row>
    <row r="318" spans="1:5" x14ac:dyDescent="0.35">
      <c r="A318" s="57" t="s">
        <v>994</v>
      </c>
      <c r="B318" s="57" t="s">
        <v>995</v>
      </c>
      <c r="C318" s="57" t="s">
        <v>394</v>
      </c>
      <c r="D318" s="57" t="s">
        <v>274</v>
      </c>
      <c r="E318" s="57" t="s">
        <v>423</v>
      </c>
    </row>
    <row r="319" spans="1:5" x14ac:dyDescent="0.35">
      <c r="A319" s="57" t="s">
        <v>996</v>
      </c>
      <c r="B319" s="57" t="s">
        <v>997</v>
      </c>
      <c r="C319" s="57" t="s">
        <v>394</v>
      </c>
      <c r="D319" s="57" t="s">
        <v>274</v>
      </c>
      <c r="E319" s="57" t="s">
        <v>423</v>
      </c>
    </row>
    <row r="320" spans="1:5" x14ac:dyDescent="0.35">
      <c r="A320" s="57" t="s">
        <v>998</v>
      </c>
      <c r="B320" s="57" t="s">
        <v>997</v>
      </c>
      <c r="C320" s="57" t="s">
        <v>394</v>
      </c>
      <c r="D320" s="57" t="s">
        <v>274</v>
      </c>
      <c r="E320" s="57" t="s">
        <v>480</v>
      </c>
    </row>
    <row r="321" spans="1:5" x14ac:dyDescent="0.35">
      <c r="A321" s="57" t="s">
        <v>999</v>
      </c>
      <c r="B321" s="57" t="s">
        <v>1000</v>
      </c>
      <c r="C321" s="57" t="s">
        <v>394</v>
      </c>
      <c r="D321" s="57" t="s">
        <v>274</v>
      </c>
      <c r="E321" s="57" t="s">
        <v>423</v>
      </c>
    </row>
    <row r="322" spans="1:5" x14ac:dyDescent="0.35">
      <c r="A322" s="57" t="s">
        <v>1001</v>
      </c>
      <c r="B322" s="57" t="s">
        <v>1002</v>
      </c>
      <c r="C322" s="57" t="s">
        <v>394</v>
      </c>
      <c r="D322" s="57" t="s">
        <v>274</v>
      </c>
      <c r="E322" s="57" t="s">
        <v>179</v>
      </c>
    </row>
    <row r="323" spans="1:5" x14ac:dyDescent="0.35">
      <c r="A323" s="57" t="s">
        <v>1003</v>
      </c>
      <c r="B323" s="57" t="s">
        <v>1004</v>
      </c>
      <c r="C323" s="57" t="s">
        <v>394</v>
      </c>
      <c r="D323" s="57" t="s">
        <v>274</v>
      </c>
      <c r="E323" s="57" t="s">
        <v>397</v>
      </c>
    </row>
    <row r="324" spans="1:5" x14ac:dyDescent="0.35">
      <c r="A324" s="57" t="s">
        <v>1005</v>
      </c>
      <c r="B324" s="57" t="s">
        <v>1006</v>
      </c>
      <c r="C324" s="57" t="s">
        <v>394</v>
      </c>
      <c r="D324" s="57" t="s">
        <v>274</v>
      </c>
      <c r="E324" s="57" t="s">
        <v>179</v>
      </c>
    </row>
    <row r="325" spans="1:5" x14ac:dyDescent="0.35">
      <c r="A325" s="57" t="s">
        <v>1007</v>
      </c>
      <c r="B325" s="57" t="s">
        <v>1008</v>
      </c>
      <c r="C325" s="57" t="s">
        <v>394</v>
      </c>
      <c r="D325" s="57" t="s">
        <v>274</v>
      </c>
      <c r="E325" s="57" t="s">
        <v>397</v>
      </c>
    </row>
    <row r="326" spans="1:5" x14ac:dyDescent="0.35">
      <c r="A326" s="57" t="s">
        <v>1009</v>
      </c>
      <c r="B326" s="57" t="s">
        <v>1010</v>
      </c>
      <c r="C326" s="57" t="s">
        <v>394</v>
      </c>
      <c r="D326" s="57" t="s">
        <v>274</v>
      </c>
      <c r="E326" s="57" t="s">
        <v>179</v>
      </c>
    </row>
    <row r="327" spans="1:5" x14ac:dyDescent="0.35">
      <c r="A327" s="57" t="s">
        <v>1011</v>
      </c>
      <c r="B327" s="57" t="s">
        <v>917</v>
      </c>
      <c r="C327" s="57" t="s">
        <v>394</v>
      </c>
      <c r="D327" s="57" t="s">
        <v>274</v>
      </c>
      <c r="E327" s="57" t="s">
        <v>905</v>
      </c>
    </row>
    <row r="328" spans="1:5" x14ac:dyDescent="0.35">
      <c r="A328" s="57" t="s">
        <v>1012</v>
      </c>
      <c r="B328" s="57" t="s">
        <v>917</v>
      </c>
      <c r="C328" s="57" t="s">
        <v>394</v>
      </c>
      <c r="D328" s="57" t="s">
        <v>274</v>
      </c>
      <c r="E328" s="57" t="s">
        <v>905</v>
      </c>
    </row>
    <row r="329" spans="1:5" x14ac:dyDescent="0.35">
      <c r="A329" s="57" t="s">
        <v>1013</v>
      </c>
      <c r="B329" s="57" t="s">
        <v>1014</v>
      </c>
      <c r="C329" s="57" t="s">
        <v>394</v>
      </c>
      <c r="D329" s="57" t="s">
        <v>274</v>
      </c>
      <c r="E329" s="57" t="s">
        <v>179</v>
      </c>
    </row>
    <row r="330" spans="1:5" x14ac:dyDescent="0.35">
      <c r="A330" s="57" t="s">
        <v>1015</v>
      </c>
      <c r="B330" s="57" t="s">
        <v>1016</v>
      </c>
      <c r="C330" s="57" t="s">
        <v>394</v>
      </c>
      <c r="D330" s="57" t="s">
        <v>274</v>
      </c>
      <c r="E330" s="57" t="s">
        <v>397</v>
      </c>
    </row>
    <row r="331" spans="1:5" x14ac:dyDescent="0.35">
      <c r="A331" s="57" t="s">
        <v>1017</v>
      </c>
      <c r="B331" s="57" t="s">
        <v>1018</v>
      </c>
      <c r="C331" s="57" t="s">
        <v>394</v>
      </c>
      <c r="D331" s="57" t="s">
        <v>274</v>
      </c>
      <c r="E331" s="57" t="s">
        <v>179</v>
      </c>
    </row>
    <row r="332" spans="1:5" x14ac:dyDescent="0.35">
      <c r="A332" s="57" t="s">
        <v>1019</v>
      </c>
      <c r="B332" s="57" t="s">
        <v>1018</v>
      </c>
      <c r="C332" s="57" t="s">
        <v>394</v>
      </c>
      <c r="D332" s="57" t="s">
        <v>274</v>
      </c>
      <c r="E332" s="57" t="s">
        <v>179</v>
      </c>
    </row>
    <row r="333" spans="1:5" x14ac:dyDescent="0.35">
      <c r="A333" s="57" t="s">
        <v>1020</v>
      </c>
      <c r="B333" s="57" t="s">
        <v>1021</v>
      </c>
      <c r="C333" s="57" t="s">
        <v>394</v>
      </c>
      <c r="D333" s="57" t="s">
        <v>274</v>
      </c>
      <c r="E333" s="57" t="s">
        <v>423</v>
      </c>
    </row>
    <row r="334" spans="1:5" x14ac:dyDescent="0.35">
      <c r="A334" s="57" t="s">
        <v>1022</v>
      </c>
      <c r="B334" s="57" t="s">
        <v>1023</v>
      </c>
      <c r="C334" s="57" t="s">
        <v>394</v>
      </c>
      <c r="D334" s="57" t="s">
        <v>274</v>
      </c>
      <c r="E334" s="57" t="s">
        <v>423</v>
      </c>
    </row>
    <row r="335" spans="1:5" x14ac:dyDescent="0.35">
      <c r="A335" s="57" t="s">
        <v>1024</v>
      </c>
      <c r="B335" s="57" t="s">
        <v>1025</v>
      </c>
      <c r="C335" s="57" t="s">
        <v>394</v>
      </c>
      <c r="D335" s="57" t="s">
        <v>274</v>
      </c>
      <c r="E335" s="57" t="s">
        <v>423</v>
      </c>
    </row>
    <row r="336" spans="1:5" x14ac:dyDescent="0.35">
      <c r="A336" s="57" t="s">
        <v>1026</v>
      </c>
      <c r="B336" s="57" t="s">
        <v>1027</v>
      </c>
      <c r="C336" s="57" t="s">
        <v>394</v>
      </c>
      <c r="D336" s="57" t="s">
        <v>274</v>
      </c>
      <c r="E336" s="57" t="s">
        <v>423</v>
      </c>
    </row>
    <row r="337" spans="1:5" x14ac:dyDescent="0.35">
      <c r="A337" s="57" t="s">
        <v>1028</v>
      </c>
      <c r="B337" s="57" t="s">
        <v>1029</v>
      </c>
      <c r="C337" s="57" t="s">
        <v>394</v>
      </c>
      <c r="D337" s="57" t="s">
        <v>274</v>
      </c>
      <c r="E337" s="57" t="s">
        <v>179</v>
      </c>
    </row>
    <row r="338" spans="1:5" x14ac:dyDescent="0.35">
      <c r="A338" s="57" t="s">
        <v>1030</v>
      </c>
      <c r="B338" s="57" t="s">
        <v>1031</v>
      </c>
      <c r="C338" s="57" t="s">
        <v>394</v>
      </c>
      <c r="D338" s="57" t="s">
        <v>274</v>
      </c>
      <c r="E338" s="57" t="s">
        <v>179</v>
      </c>
    </row>
    <row r="339" spans="1:5" x14ac:dyDescent="0.35">
      <c r="A339" s="57" t="s">
        <v>1032</v>
      </c>
      <c r="B339" s="57" t="s">
        <v>1033</v>
      </c>
      <c r="C339" s="57" t="s">
        <v>394</v>
      </c>
      <c r="D339" s="57" t="s">
        <v>274</v>
      </c>
      <c r="E339" s="57" t="s">
        <v>423</v>
      </c>
    </row>
    <row r="340" spans="1:5" x14ac:dyDescent="0.35">
      <c r="A340" s="57" t="s">
        <v>1034</v>
      </c>
      <c r="B340" s="57" t="s">
        <v>1002</v>
      </c>
      <c r="C340" s="57" t="s">
        <v>394</v>
      </c>
      <c r="D340" s="57" t="s">
        <v>274</v>
      </c>
      <c r="E340" s="57" t="s">
        <v>179</v>
      </c>
    </row>
    <row r="341" spans="1:5" x14ac:dyDescent="0.35">
      <c r="A341" s="57" t="s">
        <v>1035</v>
      </c>
      <c r="B341" s="57" t="s">
        <v>1036</v>
      </c>
      <c r="C341" s="57" t="s">
        <v>394</v>
      </c>
      <c r="D341" s="57" t="s">
        <v>274</v>
      </c>
      <c r="E341" s="57" t="s">
        <v>536</v>
      </c>
    </row>
    <row r="342" spans="1:5" x14ac:dyDescent="0.35">
      <c r="A342" s="57" t="s">
        <v>1037</v>
      </c>
      <c r="B342" s="57" t="s">
        <v>1038</v>
      </c>
      <c r="C342" s="57" t="s">
        <v>394</v>
      </c>
      <c r="D342" s="57" t="s">
        <v>274</v>
      </c>
      <c r="E342" s="57" t="s">
        <v>536</v>
      </c>
    </row>
    <row r="343" spans="1:5" x14ac:dyDescent="0.35">
      <c r="A343" s="57" t="s">
        <v>1039</v>
      </c>
      <c r="B343" s="57" t="s">
        <v>1040</v>
      </c>
      <c r="C343" s="57" t="s">
        <v>394</v>
      </c>
      <c r="D343" s="57" t="s">
        <v>274</v>
      </c>
      <c r="E343" s="57" t="s">
        <v>536</v>
      </c>
    </row>
    <row r="344" spans="1:5" x14ac:dyDescent="0.35">
      <c r="A344" s="57" t="s">
        <v>1041</v>
      </c>
      <c r="B344" s="57" t="s">
        <v>1042</v>
      </c>
      <c r="C344" s="57" t="s">
        <v>394</v>
      </c>
      <c r="D344" s="57" t="s">
        <v>278</v>
      </c>
      <c r="E344" s="57" t="s">
        <v>423</v>
      </c>
    </row>
    <row r="345" spans="1:5" x14ac:dyDescent="0.35">
      <c r="A345" s="57" t="s">
        <v>1043</v>
      </c>
      <c r="B345" s="57" t="s">
        <v>1042</v>
      </c>
      <c r="C345" s="57" t="s">
        <v>394</v>
      </c>
      <c r="D345" s="57" t="s">
        <v>278</v>
      </c>
      <c r="E345" s="57" t="s">
        <v>480</v>
      </c>
    </row>
    <row r="346" spans="1:5" x14ac:dyDescent="0.35">
      <c r="A346" s="57" t="s">
        <v>1044</v>
      </c>
      <c r="B346" s="57" t="s">
        <v>1045</v>
      </c>
      <c r="C346" s="57" t="s">
        <v>394</v>
      </c>
      <c r="D346" s="57" t="s">
        <v>278</v>
      </c>
      <c r="E346" s="57" t="s">
        <v>179</v>
      </c>
    </row>
    <row r="347" spans="1:5" x14ac:dyDescent="0.35">
      <c r="A347" s="57" t="s">
        <v>1046</v>
      </c>
      <c r="B347" s="57" t="s">
        <v>1047</v>
      </c>
      <c r="C347" s="57" t="s">
        <v>394</v>
      </c>
      <c r="D347" s="57" t="s">
        <v>278</v>
      </c>
      <c r="E347" s="57" t="s">
        <v>423</v>
      </c>
    </row>
    <row r="348" spans="1:5" x14ac:dyDescent="0.35">
      <c r="A348" s="57" t="s">
        <v>1048</v>
      </c>
      <c r="B348" s="57" t="s">
        <v>1049</v>
      </c>
      <c r="C348" s="57" t="s">
        <v>394</v>
      </c>
      <c r="D348" s="57" t="s">
        <v>278</v>
      </c>
      <c r="E348" s="57" t="s">
        <v>423</v>
      </c>
    </row>
    <row r="349" spans="1:5" x14ac:dyDescent="0.35">
      <c r="A349" s="57" t="s">
        <v>1050</v>
      </c>
      <c r="B349" s="57" t="s">
        <v>1051</v>
      </c>
      <c r="C349" s="57" t="s">
        <v>394</v>
      </c>
      <c r="D349" s="57" t="s">
        <v>278</v>
      </c>
      <c r="E349" s="57" t="s">
        <v>423</v>
      </c>
    </row>
    <row r="350" spans="1:5" x14ac:dyDescent="0.35">
      <c r="A350" s="57" t="s">
        <v>1052</v>
      </c>
      <c r="B350" s="57" t="s">
        <v>1053</v>
      </c>
      <c r="C350" s="57" t="s">
        <v>394</v>
      </c>
      <c r="D350" s="57" t="s">
        <v>278</v>
      </c>
      <c r="E350" s="57" t="s">
        <v>905</v>
      </c>
    </row>
    <row r="351" spans="1:5" x14ac:dyDescent="0.35">
      <c r="A351" s="57" t="s">
        <v>1054</v>
      </c>
      <c r="B351" s="57" t="s">
        <v>1055</v>
      </c>
      <c r="C351" s="57" t="s">
        <v>394</v>
      </c>
      <c r="D351" s="57" t="s">
        <v>278</v>
      </c>
      <c r="E351" s="57" t="s">
        <v>905</v>
      </c>
    </row>
    <row r="352" spans="1:5" x14ac:dyDescent="0.35">
      <c r="A352" s="57" t="s">
        <v>1056</v>
      </c>
      <c r="B352" s="57" t="s">
        <v>1057</v>
      </c>
      <c r="C352" s="57" t="s">
        <v>394</v>
      </c>
      <c r="D352" s="57" t="s">
        <v>278</v>
      </c>
      <c r="E352" s="57" t="s">
        <v>905</v>
      </c>
    </row>
    <row r="353" spans="1:5" x14ac:dyDescent="0.35">
      <c r="A353" s="57" t="s">
        <v>1058</v>
      </c>
      <c r="B353" s="57" t="s">
        <v>1057</v>
      </c>
      <c r="C353" s="57" t="s">
        <v>394</v>
      </c>
      <c r="D353" s="57" t="s">
        <v>278</v>
      </c>
      <c r="E353" s="57" t="s">
        <v>905</v>
      </c>
    </row>
    <row r="354" spans="1:5" x14ac:dyDescent="0.35">
      <c r="A354" s="57" t="s">
        <v>1059</v>
      </c>
      <c r="B354" s="57" t="s">
        <v>1060</v>
      </c>
      <c r="C354" s="57" t="s">
        <v>394</v>
      </c>
      <c r="D354" s="57" t="s">
        <v>278</v>
      </c>
      <c r="E354" s="57" t="s">
        <v>423</v>
      </c>
    </row>
    <row r="355" spans="1:5" x14ac:dyDescent="0.35">
      <c r="A355" s="57" t="s">
        <v>1061</v>
      </c>
      <c r="B355" s="57" t="s">
        <v>1062</v>
      </c>
      <c r="C355" s="57" t="s">
        <v>394</v>
      </c>
      <c r="D355" s="57" t="s">
        <v>278</v>
      </c>
      <c r="E355" s="57" t="s">
        <v>179</v>
      </c>
    </row>
    <row r="356" spans="1:5" x14ac:dyDescent="0.35">
      <c r="A356" s="57" t="s">
        <v>1063</v>
      </c>
      <c r="B356" s="57" t="s">
        <v>1064</v>
      </c>
      <c r="C356" s="57" t="s">
        <v>394</v>
      </c>
      <c r="D356" s="57" t="s">
        <v>278</v>
      </c>
      <c r="E356" s="57" t="s">
        <v>423</v>
      </c>
    </row>
    <row r="357" spans="1:5" x14ac:dyDescent="0.35">
      <c r="A357" s="57" t="s">
        <v>1065</v>
      </c>
      <c r="B357" s="57" t="s">
        <v>1064</v>
      </c>
      <c r="C357" s="57" t="s">
        <v>394</v>
      </c>
      <c r="D357" s="57" t="s">
        <v>278</v>
      </c>
      <c r="E357" s="57" t="s">
        <v>423</v>
      </c>
    </row>
    <row r="358" spans="1:5" x14ac:dyDescent="0.35">
      <c r="A358" s="57" t="s">
        <v>1066</v>
      </c>
      <c r="B358" s="57" t="s">
        <v>1067</v>
      </c>
      <c r="C358" s="57" t="s">
        <v>394</v>
      </c>
      <c r="D358" s="57" t="s">
        <v>278</v>
      </c>
      <c r="E358" s="57" t="s">
        <v>905</v>
      </c>
    </row>
    <row r="359" spans="1:5" x14ac:dyDescent="0.35">
      <c r="A359" s="57" t="s">
        <v>1068</v>
      </c>
      <c r="B359" s="57" t="s">
        <v>1069</v>
      </c>
      <c r="C359" s="57" t="s">
        <v>394</v>
      </c>
      <c r="D359" s="57" t="s">
        <v>278</v>
      </c>
      <c r="E359" s="57" t="s">
        <v>423</v>
      </c>
    </row>
    <row r="360" spans="1:5" x14ac:dyDescent="0.35">
      <c r="A360" s="57" t="s">
        <v>1070</v>
      </c>
      <c r="B360" s="57" t="s">
        <v>1069</v>
      </c>
      <c r="C360" s="57" t="s">
        <v>394</v>
      </c>
      <c r="D360" s="57" t="s">
        <v>278</v>
      </c>
      <c r="E360" s="57" t="s">
        <v>480</v>
      </c>
    </row>
    <row r="361" spans="1:5" x14ac:dyDescent="0.35">
      <c r="A361" s="57" t="s">
        <v>1071</v>
      </c>
      <c r="B361" s="57" t="s">
        <v>1072</v>
      </c>
      <c r="C361" s="57" t="s">
        <v>394</v>
      </c>
      <c r="D361" s="57" t="s">
        <v>278</v>
      </c>
      <c r="E361" s="57" t="s">
        <v>423</v>
      </c>
    </row>
    <row r="362" spans="1:5" x14ac:dyDescent="0.35">
      <c r="A362" s="57" t="s">
        <v>1073</v>
      </c>
      <c r="B362" s="57" t="s">
        <v>1074</v>
      </c>
      <c r="C362" s="57" t="s">
        <v>394</v>
      </c>
      <c r="D362" s="57" t="s">
        <v>278</v>
      </c>
      <c r="E362" s="57" t="s">
        <v>179</v>
      </c>
    </row>
    <row r="363" spans="1:5" x14ac:dyDescent="0.35">
      <c r="A363" s="57" t="s">
        <v>1075</v>
      </c>
      <c r="B363" s="57" t="s">
        <v>1076</v>
      </c>
      <c r="C363" s="57" t="s">
        <v>394</v>
      </c>
      <c r="D363" s="57" t="s">
        <v>278</v>
      </c>
      <c r="E363" s="57" t="s">
        <v>423</v>
      </c>
    </row>
    <row r="364" spans="1:5" x14ac:dyDescent="0.35">
      <c r="A364" s="57" t="s">
        <v>1077</v>
      </c>
      <c r="B364" s="57" t="s">
        <v>1078</v>
      </c>
      <c r="C364" s="57" t="s">
        <v>394</v>
      </c>
      <c r="D364" s="57" t="s">
        <v>278</v>
      </c>
      <c r="E364" s="57" t="s">
        <v>480</v>
      </c>
    </row>
    <row r="365" spans="1:5" x14ac:dyDescent="0.35">
      <c r="A365" s="57" t="s">
        <v>1079</v>
      </c>
      <c r="B365" s="57" t="s">
        <v>1078</v>
      </c>
      <c r="C365" s="57" t="s">
        <v>394</v>
      </c>
      <c r="D365" s="57" t="s">
        <v>278</v>
      </c>
      <c r="E365" s="57" t="s">
        <v>480</v>
      </c>
    </row>
    <row r="366" spans="1:5" x14ac:dyDescent="0.35">
      <c r="A366" s="57" t="s">
        <v>1080</v>
      </c>
      <c r="B366" s="57" t="s">
        <v>1081</v>
      </c>
      <c r="C366" s="57" t="s">
        <v>394</v>
      </c>
      <c r="D366" s="57" t="s">
        <v>278</v>
      </c>
      <c r="E366" s="57" t="s">
        <v>179</v>
      </c>
    </row>
    <row r="367" spans="1:5" x14ac:dyDescent="0.35">
      <c r="A367" s="57" t="s">
        <v>1082</v>
      </c>
      <c r="B367" s="57" t="s">
        <v>1083</v>
      </c>
      <c r="C367" s="57" t="s">
        <v>394</v>
      </c>
      <c r="D367" s="57" t="s">
        <v>278</v>
      </c>
      <c r="E367" s="57" t="s">
        <v>423</v>
      </c>
    </row>
    <row r="368" spans="1:5" x14ac:dyDescent="0.35">
      <c r="A368" s="57" t="s">
        <v>1084</v>
      </c>
      <c r="B368" s="57" t="s">
        <v>1085</v>
      </c>
      <c r="C368" s="57" t="s">
        <v>394</v>
      </c>
      <c r="D368" s="57" t="s">
        <v>278</v>
      </c>
      <c r="E368" s="57" t="s">
        <v>179</v>
      </c>
    </row>
    <row r="369" spans="1:5" x14ac:dyDescent="0.35">
      <c r="A369" s="57" t="s">
        <v>1086</v>
      </c>
      <c r="B369" s="57" t="s">
        <v>1085</v>
      </c>
      <c r="C369" s="57" t="s">
        <v>394</v>
      </c>
      <c r="D369" s="57" t="s">
        <v>278</v>
      </c>
      <c r="E369" s="57" t="s">
        <v>575</v>
      </c>
    </row>
    <row r="370" spans="1:5" x14ac:dyDescent="0.35">
      <c r="A370" s="57" t="s">
        <v>1087</v>
      </c>
      <c r="B370" s="57" t="s">
        <v>1088</v>
      </c>
      <c r="C370" s="57" t="s">
        <v>394</v>
      </c>
      <c r="D370" s="57" t="s">
        <v>278</v>
      </c>
      <c r="E370" s="57" t="s">
        <v>423</v>
      </c>
    </row>
    <row r="371" spans="1:5" x14ac:dyDescent="0.35">
      <c r="A371" s="57" t="s">
        <v>1089</v>
      </c>
      <c r="B371" s="57" t="s">
        <v>1090</v>
      </c>
      <c r="C371" s="57" t="s">
        <v>394</v>
      </c>
      <c r="D371" s="57" t="s">
        <v>278</v>
      </c>
      <c r="E371" s="57" t="s">
        <v>536</v>
      </c>
    </row>
    <row r="372" spans="1:5" x14ac:dyDescent="0.35">
      <c r="A372" s="57" t="s">
        <v>1091</v>
      </c>
      <c r="B372" s="57" t="s">
        <v>1092</v>
      </c>
      <c r="C372" s="57" t="s">
        <v>394</v>
      </c>
      <c r="D372" s="57" t="s">
        <v>278</v>
      </c>
      <c r="E372" s="57" t="s">
        <v>536</v>
      </c>
    </row>
    <row r="373" spans="1:5" x14ac:dyDescent="0.35">
      <c r="A373" s="57" t="s">
        <v>1093</v>
      </c>
      <c r="B373" s="57" t="s">
        <v>1094</v>
      </c>
      <c r="C373" s="57" t="s">
        <v>394</v>
      </c>
      <c r="D373" s="57" t="s">
        <v>278</v>
      </c>
      <c r="E373" s="57" t="s">
        <v>536</v>
      </c>
    </row>
    <row r="374" spans="1:5" x14ac:dyDescent="0.35">
      <c r="A374" s="57" t="s">
        <v>1095</v>
      </c>
      <c r="B374" s="57" t="s">
        <v>1096</v>
      </c>
      <c r="C374" s="57" t="s">
        <v>394</v>
      </c>
      <c r="D374" s="57" t="s">
        <v>278</v>
      </c>
      <c r="E374" s="57" t="s">
        <v>536</v>
      </c>
    </row>
    <row r="375" spans="1:5" x14ac:dyDescent="0.35">
      <c r="A375" s="57" t="s">
        <v>1097</v>
      </c>
      <c r="B375" s="57" t="s">
        <v>1098</v>
      </c>
      <c r="C375" s="57" t="s">
        <v>394</v>
      </c>
      <c r="D375" s="57" t="s">
        <v>278</v>
      </c>
      <c r="E375" s="57" t="s">
        <v>536</v>
      </c>
    </row>
    <row r="376" spans="1:5" x14ac:dyDescent="0.35">
      <c r="A376" s="57" t="s">
        <v>1099</v>
      </c>
      <c r="B376" s="57" t="s">
        <v>1100</v>
      </c>
      <c r="C376" s="57" t="s">
        <v>394</v>
      </c>
      <c r="D376" s="57" t="s">
        <v>278</v>
      </c>
      <c r="E376" s="57" t="s">
        <v>536</v>
      </c>
    </row>
    <row r="377" spans="1:5" x14ac:dyDescent="0.35">
      <c r="A377" s="57" t="s">
        <v>1101</v>
      </c>
      <c r="B377" s="57" t="s">
        <v>1102</v>
      </c>
      <c r="C377" s="57" t="s">
        <v>394</v>
      </c>
      <c r="D377" s="57" t="s">
        <v>278</v>
      </c>
      <c r="E377" s="57" t="s">
        <v>536</v>
      </c>
    </row>
    <row r="378" spans="1:5" x14ac:dyDescent="0.35">
      <c r="A378" s="57" t="s">
        <v>1103</v>
      </c>
      <c r="B378" s="57" t="s">
        <v>1104</v>
      </c>
      <c r="C378" s="57" t="s">
        <v>394</v>
      </c>
      <c r="D378" s="57" t="s">
        <v>278</v>
      </c>
      <c r="E378" s="57" t="s">
        <v>536</v>
      </c>
    </row>
    <row r="379" spans="1:5" x14ac:dyDescent="0.35">
      <c r="A379" s="57" t="s">
        <v>1105</v>
      </c>
      <c r="B379" s="57" t="s">
        <v>1106</v>
      </c>
      <c r="C379" s="57" t="s">
        <v>394</v>
      </c>
      <c r="D379" s="57" t="s">
        <v>278</v>
      </c>
      <c r="E379" s="57" t="s">
        <v>536</v>
      </c>
    </row>
    <row r="380" spans="1:5" x14ac:dyDescent="0.35">
      <c r="A380" s="57" t="s">
        <v>1107</v>
      </c>
      <c r="B380" s="57" t="s">
        <v>1108</v>
      </c>
      <c r="C380" s="57" t="s">
        <v>394</v>
      </c>
      <c r="D380" s="57" t="s">
        <v>278</v>
      </c>
      <c r="E380" s="57" t="s">
        <v>536</v>
      </c>
    </row>
    <row r="381" spans="1:5" x14ac:dyDescent="0.35">
      <c r="A381" s="57" t="s">
        <v>1109</v>
      </c>
      <c r="B381" s="57" t="s">
        <v>1110</v>
      </c>
      <c r="C381" s="57" t="s">
        <v>394</v>
      </c>
      <c r="D381" s="57" t="s">
        <v>278</v>
      </c>
      <c r="E381" s="57" t="s">
        <v>536</v>
      </c>
    </row>
    <row r="382" spans="1:5" x14ac:dyDescent="0.35">
      <c r="A382" s="57" t="s">
        <v>1111</v>
      </c>
      <c r="B382" s="57" t="s">
        <v>1112</v>
      </c>
      <c r="C382" s="57" t="s">
        <v>394</v>
      </c>
      <c r="D382" s="57" t="s">
        <v>278</v>
      </c>
      <c r="E382" s="57" t="s">
        <v>536</v>
      </c>
    </row>
    <row r="383" spans="1:5" x14ac:dyDescent="0.35">
      <c r="A383" s="57" t="s">
        <v>1113</v>
      </c>
      <c r="B383" s="57" t="s">
        <v>1114</v>
      </c>
      <c r="C383" s="57" t="s">
        <v>394</v>
      </c>
      <c r="D383" s="57" t="s">
        <v>278</v>
      </c>
      <c r="E383" s="57" t="s">
        <v>536</v>
      </c>
    </row>
    <row r="384" spans="1:5" x14ac:dyDescent="0.35">
      <c r="A384" s="57" t="s">
        <v>1115</v>
      </c>
      <c r="B384" s="57" t="s">
        <v>1116</v>
      </c>
      <c r="C384" s="57" t="s">
        <v>394</v>
      </c>
      <c r="D384" s="57" t="s">
        <v>278</v>
      </c>
      <c r="E384" s="57" t="s">
        <v>536</v>
      </c>
    </row>
    <row r="385" spans="1:5" x14ac:dyDescent="0.35">
      <c r="A385" s="57" t="s">
        <v>1117</v>
      </c>
      <c r="B385" s="57" t="s">
        <v>1118</v>
      </c>
      <c r="C385" s="57" t="s">
        <v>394</v>
      </c>
      <c r="D385" s="57" t="s">
        <v>280</v>
      </c>
      <c r="E385" s="57" t="s">
        <v>1119</v>
      </c>
    </row>
    <row r="386" spans="1:5" x14ac:dyDescent="0.35">
      <c r="A386" s="57" t="s">
        <v>1120</v>
      </c>
      <c r="B386" s="57" t="s">
        <v>1121</v>
      </c>
      <c r="C386" s="57" t="s">
        <v>394</v>
      </c>
      <c r="D386" s="57" t="s">
        <v>280</v>
      </c>
      <c r="E386" s="57" t="s">
        <v>423</v>
      </c>
    </row>
    <row r="387" spans="1:5" x14ac:dyDescent="0.35">
      <c r="A387" s="57" t="s">
        <v>1122</v>
      </c>
      <c r="B387" s="57" t="s">
        <v>1123</v>
      </c>
      <c r="C387" s="57" t="s">
        <v>394</v>
      </c>
      <c r="D387" s="57" t="s">
        <v>280</v>
      </c>
      <c r="E387" s="57" t="s">
        <v>397</v>
      </c>
    </row>
    <row r="388" spans="1:5" x14ac:dyDescent="0.35">
      <c r="A388" s="57" t="s">
        <v>1124</v>
      </c>
      <c r="B388" s="57" t="s">
        <v>1125</v>
      </c>
      <c r="C388" s="57" t="s">
        <v>394</v>
      </c>
      <c r="D388" s="57" t="s">
        <v>280</v>
      </c>
      <c r="E388" s="57" t="s">
        <v>423</v>
      </c>
    </row>
    <row r="389" spans="1:5" x14ac:dyDescent="0.35">
      <c r="A389" s="57" t="s">
        <v>1126</v>
      </c>
      <c r="B389" s="57" t="s">
        <v>1125</v>
      </c>
      <c r="C389" s="57" t="s">
        <v>394</v>
      </c>
      <c r="D389" s="57" t="s">
        <v>280</v>
      </c>
      <c r="E389" s="57" t="s">
        <v>423</v>
      </c>
    </row>
    <row r="390" spans="1:5" x14ac:dyDescent="0.35">
      <c r="A390" s="57" t="s">
        <v>1127</v>
      </c>
      <c r="B390" s="57" t="s">
        <v>1128</v>
      </c>
      <c r="C390" s="57" t="s">
        <v>394</v>
      </c>
      <c r="D390" s="57" t="s">
        <v>280</v>
      </c>
      <c r="E390" s="57" t="s">
        <v>423</v>
      </c>
    </row>
    <row r="391" spans="1:5" x14ac:dyDescent="0.35">
      <c r="A391" s="57" t="s">
        <v>1129</v>
      </c>
      <c r="B391" s="57" t="s">
        <v>1130</v>
      </c>
      <c r="C391" s="57" t="s">
        <v>394</v>
      </c>
      <c r="D391" s="57" t="s">
        <v>280</v>
      </c>
      <c r="E391" s="57" t="s">
        <v>423</v>
      </c>
    </row>
    <row r="392" spans="1:5" x14ac:dyDescent="0.35">
      <c r="A392" s="57" t="s">
        <v>1131</v>
      </c>
      <c r="B392" s="57" t="s">
        <v>1132</v>
      </c>
      <c r="C392" s="57" t="s">
        <v>394</v>
      </c>
      <c r="D392" s="57" t="s">
        <v>280</v>
      </c>
      <c r="E392" s="57" t="s">
        <v>423</v>
      </c>
    </row>
    <row r="393" spans="1:5" x14ac:dyDescent="0.35">
      <c r="A393" s="57" t="s">
        <v>1133</v>
      </c>
      <c r="B393" s="57" t="s">
        <v>1132</v>
      </c>
      <c r="C393" s="57" t="s">
        <v>394</v>
      </c>
      <c r="D393" s="57" t="s">
        <v>280</v>
      </c>
      <c r="E393" s="57" t="s">
        <v>480</v>
      </c>
    </row>
    <row r="394" spans="1:5" x14ac:dyDescent="0.35">
      <c r="A394" s="57" t="s">
        <v>1134</v>
      </c>
      <c r="B394" s="57" t="s">
        <v>1135</v>
      </c>
      <c r="C394" s="57" t="s">
        <v>394</v>
      </c>
      <c r="D394" s="57" t="s">
        <v>280</v>
      </c>
      <c r="E394" s="57" t="s">
        <v>423</v>
      </c>
    </row>
    <row r="395" spans="1:5" x14ac:dyDescent="0.35">
      <c r="A395" s="57" t="s">
        <v>1136</v>
      </c>
      <c r="B395" s="57" t="s">
        <v>1137</v>
      </c>
      <c r="C395" s="57" t="s">
        <v>394</v>
      </c>
      <c r="D395" s="57" t="s">
        <v>280</v>
      </c>
      <c r="E395" s="57" t="s">
        <v>423</v>
      </c>
    </row>
    <row r="396" spans="1:5" x14ac:dyDescent="0.35">
      <c r="A396" s="57" t="s">
        <v>1138</v>
      </c>
      <c r="B396" s="57" t="s">
        <v>1137</v>
      </c>
      <c r="C396" s="57" t="s">
        <v>394</v>
      </c>
      <c r="D396" s="57" t="s">
        <v>280</v>
      </c>
      <c r="E396" s="57" t="s">
        <v>423</v>
      </c>
    </row>
    <row r="397" spans="1:5" x14ac:dyDescent="0.35">
      <c r="A397" s="57" t="s">
        <v>1139</v>
      </c>
      <c r="B397" s="57" t="s">
        <v>1140</v>
      </c>
      <c r="C397" s="57" t="s">
        <v>394</v>
      </c>
      <c r="D397" s="57" t="s">
        <v>280</v>
      </c>
      <c r="E397" s="57" t="s">
        <v>179</v>
      </c>
    </row>
    <row r="398" spans="1:5" x14ac:dyDescent="0.35">
      <c r="A398" s="57" t="s">
        <v>1141</v>
      </c>
      <c r="B398" s="57" t="s">
        <v>1142</v>
      </c>
      <c r="C398" s="57" t="s">
        <v>394</v>
      </c>
      <c r="D398" s="57" t="s">
        <v>280</v>
      </c>
      <c r="E398" s="57" t="s">
        <v>423</v>
      </c>
    </row>
    <row r="399" spans="1:5" x14ac:dyDescent="0.35">
      <c r="A399" s="57" t="s">
        <v>1143</v>
      </c>
      <c r="B399" s="57" t="s">
        <v>1144</v>
      </c>
      <c r="C399" s="57" t="s">
        <v>394</v>
      </c>
      <c r="D399" s="57" t="s">
        <v>280</v>
      </c>
      <c r="E399" s="57" t="s">
        <v>179</v>
      </c>
    </row>
    <row r="400" spans="1:5" x14ac:dyDescent="0.35">
      <c r="A400" s="57" t="s">
        <v>1145</v>
      </c>
      <c r="B400" s="57" t="s">
        <v>1146</v>
      </c>
      <c r="C400" s="57" t="s">
        <v>394</v>
      </c>
      <c r="D400" s="57" t="s">
        <v>280</v>
      </c>
      <c r="E400" s="57" t="s">
        <v>423</v>
      </c>
    </row>
    <row r="401" spans="1:5" x14ac:dyDescent="0.35">
      <c r="A401" s="57" t="s">
        <v>1147</v>
      </c>
      <c r="B401" s="57" t="s">
        <v>1140</v>
      </c>
      <c r="C401" s="57" t="s">
        <v>394</v>
      </c>
      <c r="D401" s="57" t="s">
        <v>280</v>
      </c>
      <c r="E401" s="57" t="s">
        <v>179</v>
      </c>
    </row>
    <row r="402" spans="1:5" x14ac:dyDescent="0.35">
      <c r="A402" s="57" t="s">
        <v>1148</v>
      </c>
      <c r="B402" s="57" t="s">
        <v>1149</v>
      </c>
      <c r="C402" s="57" t="s">
        <v>394</v>
      </c>
      <c r="D402" s="57" t="s">
        <v>280</v>
      </c>
      <c r="E402" s="57" t="s">
        <v>423</v>
      </c>
    </row>
    <row r="403" spans="1:5" x14ac:dyDescent="0.35">
      <c r="A403" s="57" t="s">
        <v>1150</v>
      </c>
      <c r="B403" s="57" t="s">
        <v>1149</v>
      </c>
      <c r="C403" s="57" t="s">
        <v>394</v>
      </c>
      <c r="D403" s="57" t="s">
        <v>280</v>
      </c>
      <c r="E403" s="57" t="s">
        <v>480</v>
      </c>
    </row>
    <row r="404" spans="1:5" x14ac:dyDescent="0.35">
      <c r="A404" s="57" t="s">
        <v>1151</v>
      </c>
      <c r="B404" s="57" t="s">
        <v>1152</v>
      </c>
      <c r="C404" s="57" t="s">
        <v>394</v>
      </c>
      <c r="D404" s="57" t="s">
        <v>280</v>
      </c>
      <c r="E404" s="57" t="s">
        <v>179</v>
      </c>
    </row>
    <row r="405" spans="1:5" x14ac:dyDescent="0.35">
      <c r="A405" s="57" t="s">
        <v>1153</v>
      </c>
      <c r="B405" s="57" t="s">
        <v>1154</v>
      </c>
      <c r="C405" s="57" t="s">
        <v>394</v>
      </c>
      <c r="D405" s="57" t="s">
        <v>280</v>
      </c>
      <c r="E405" s="57" t="s">
        <v>423</v>
      </c>
    </row>
    <row r="406" spans="1:5" x14ac:dyDescent="0.35">
      <c r="A406" s="57" t="s">
        <v>1155</v>
      </c>
      <c r="B406" s="57" t="s">
        <v>1156</v>
      </c>
      <c r="C406" s="57" t="s">
        <v>394</v>
      </c>
      <c r="D406" s="57" t="s">
        <v>280</v>
      </c>
      <c r="E406" s="57" t="s">
        <v>179</v>
      </c>
    </row>
    <row r="407" spans="1:5" x14ac:dyDescent="0.35">
      <c r="A407" s="57" t="s">
        <v>1157</v>
      </c>
      <c r="B407" s="57" t="s">
        <v>1158</v>
      </c>
      <c r="C407" s="57" t="s">
        <v>394</v>
      </c>
      <c r="D407" s="57" t="s">
        <v>280</v>
      </c>
      <c r="E407" s="57" t="s">
        <v>423</v>
      </c>
    </row>
    <row r="408" spans="1:5" x14ac:dyDescent="0.35">
      <c r="A408" s="57" t="s">
        <v>1159</v>
      </c>
      <c r="B408" s="57" t="s">
        <v>1160</v>
      </c>
      <c r="C408" s="57" t="s">
        <v>394</v>
      </c>
      <c r="D408" s="57" t="s">
        <v>280</v>
      </c>
      <c r="E408" s="57" t="s">
        <v>536</v>
      </c>
    </row>
    <row r="409" spans="1:5" x14ac:dyDescent="0.35">
      <c r="A409" s="57" t="s">
        <v>1161</v>
      </c>
      <c r="B409" s="57" t="s">
        <v>1162</v>
      </c>
      <c r="C409" s="57" t="s">
        <v>394</v>
      </c>
      <c r="D409" s="57" t="s">
        <v>280</v>
      </c>
      <c r="E409" s="57" t="s">
        <v>536</v>
      </c>
    </row>
    <row r="410" spans="1:5" x14ac:dyDescent="0.35">
      <c r="A410" s="57" t="s">
        <v>1163</v>
      </c>
      <c r="B410" s="57" t="s">
        <v>1164</v>
      </c>
      <c r="C410" s="57" t="s">
        <v>394</v>
      </c>
      <c r="D410" s="57" t="s">
        <v>280</v>
      </c>
      <c r="E410" s="57" t="s">
        <v>536</v>
      </c>
    </row>
    <row r="411" spans="1:5" x14ac:dyDescent="0.35">
      <c r="A411" s="57" t="s">
        <v>1165</v>
      </c>
      <c r="B411" s="57" t="s">
        <v>1166</v>
      </c>
      <c r="C411" s="57" t="s">
        <v>394</v>
      </c>
      <c r="D411" s="57" t="s">
        <v>280</v>
      </c>
      <c r="E411" s="57" t="s">
        <v>536</v>
      </c>
    </row>
    <row r="412" spans="1:5" x14ac:dyDescent="0.35">
      <c r="A412" s="57" t="s">
        <v>1167</v>
      </c>
      <c r="B412" s="57" t="s">
        <v>1168</v>
      </c>
      <c r="C412" s="57" t="s">
        <v>394</v>
      </c>
      <c r="D412" s="57" t="s">
        <v>280</v>
      </c>
      <c r="E412" s="57" t="s">
        <v>536</v>
      </c>
    </row>
    <row r="413" spans="1:5" x14ac:dyDescent="0.35">
      <c r="A413" s="57" t="s">
        <v>1169</v>
      </c>
      <c r="B413" s="57" t="s">
        <v>1170</v>
      </c>
      <c r="C413" s="57" t="s">
        <v>394</v>
      </c>
      <c r="D413" s="57" t="s">
        <v>280</v>
      </c>
      <c r="E413" s="57" t="s">
        <v>536</v>
      </c>
    </row>
    <row r="414" spans="1:5" x14ac:dyDescent="0.35">
      <c r="A414" s="57" t="s">
        <v>1171</v>
      </c>
      <c r="B414" s="57" t="s">
        <v>1172</v>
      </c>
      <c r="C414" s="57" t="s">
        <v>394</v>
      </c>
      <c r="D414" s="57" t="s">
        <v>280</v>
      </c>
      <c r="E414" s="57" t="s">
        <v>536</v>
      </c>
    </row>
    <row r="415" spans="1:5" x14ac:dyDescent="0.35">
      <c r="A415" s="57" t="s">
        <v>1173</v>
      </c>
      <c r="B415" s="57" t="s">
        <v>1174</v>
      </c>
      <c r="C415" s="57" t="s">
        <v>394</v>
      </c>
      <c r="D415" s="57" t="s">
        <v>280</v>
      </c>
      <c r="E415" s="57" t="s">
        <v>536</v>
      </c>
    </row>
    <row r="416" spans="1:5" x14ac:dyDescent="0.35">
      <c r="A416" s="57" t="s">
        <v>1175</v>
      </c>
      <c r="B416" s="57" t="s">
        <v>1176</v>
      </c>
      <c r="C416" s="57" t="s">
        <v>394</v>
      </c>
      <c r="D416" s="57" t="s">
        <v>280</v>
      </c>
      <c r="E416" s="57" t="s">
        <v>536</v>
      </c>
    </row>
    <row r="417" spans="1:5" x14ac:dyDescent="0.35">
      <c r="A417" s="57" t="s">
        <v>1177</v>
      </c>
      <c r="B417" s="57" t="s">
        <v>1178</v>
      </c>
      <c r="C417" s="57" t="s">
        <v>394</v>
      </c>
      <c r="D417" s="57" t="s">
        <v>280</v>
      </c>
      <c r="E417" s="57" t="s">
        <v>536</v>
      </c>
    </row>
    <row r="418" spans="1:5" x14ac:dyDescent="0.35">
      <c r="A418" s="57" t="s">
        <v>1179</v>
      </c>
      <c r="B418" s="57" t="s">
        <v>1180</v>
      </c>
      <c r="C418" s="57" t="s">
        <v>394</v>
      </c>
      <c r="D418" s="57" t="s">
        <v>280</v>
      </c>
      <c r="E418" s="57" t="s">
        <v>536</v>
      </c>
    </row>
    <row r="419" spans="1:5" x14ac:dyDescent="0.35">
      <c r="A419" s="57" t="s">
        <v>1181</v>
      </c>
      <c r="B419" s="57" t="s">
        <v>1182</v>
      </c>
      <c r="C419" s="57" t="s">
        <v>394</v>
      </c>
      <c r="D419" s="57" t="s">
        <v>280</v>
      </c>
      <c r="E419" s="57" t="s">
        <v>536</v>
      </c>
    </row>
    <row r="420" spans="1:5" x14ac:dyDescent="0.35">
      <c r="A420" s="57" t="s">
        <v>1183</v>
      </c>
      <c r="B420" s="57" t="s">
        <v>1184</v>
      </c>
      <c r="C420" s="57" t="s">
        <v>394</v>
      </c>
      <c r="D420" s="57" t="s">
        <v>280</v>
      </c>
      <c r="E420" s="57" t="s">
        <v>536</v>
      </c>
    </row>
    <row r="421" spans="1:5" x14ac:dyDescent="0.35">
      <c r="A421" s="57" t="s">
        <v>1185</v>
      </c>
      <c r="B421" s="57" t="s">
        <v>1186</v>
      </c>
      <c r="C421" s="57" t="s">
        <v>394</v>
      </c>
      <c r="D421" s="57" t="s">
        <v>280</v>
      </c>
      <c r="E421" s="57" t="s">
        <v>536</v>
      </c>
    </row>
    <row r="422" spans="1:5" x14ac:dyDescent="0.35">
      <c r="A422" s="57" t="s">
        <v>1187</v>
      </c>
      <c r="B422" s="57" t="s">
        <v>1188</v>
      </c>
      <c r="C422" s="57" t="s">
        <v>394</v>
      </c>
      <c r="D422" s="57" t="s">
        <v>283</v>
      </c>
      <c r="E422" s="57" t="s">
        <v>905</v>
      </c>
    </row>
    <row r="423" spans="1:5" x14ac:dyDescent="0.35">
      <c r="A423" s="57" t="s">
        <v>1189</v>
      </c>
      <c r="B423" s="57" t="s">
        <v>1190</v>
      </c>
      <c r="C423" s="57" t="s">
        <v>394</v>
      </c>
      <c r="D423" s="57" t="s">
        <v>283</v>
      </c>
      <c r="E423" s="57" t="s">
        <v>423</v>
      </c>
    </row>
    <row r="424" spans="1:5" x14ac:dyDescent="0.35">
      <c r="A424" s="57" t="s">
        <v>1191</v>
      </c>
      <c r="B424" s="57" t="s">
        <v>1192</v>
      </c>
      <c r="C424" s="57" t="s">
        <v>394</v>
      </c>
      <c r="D424" s="57" t="s">
        <v>283</v>
      </c>
      <c r="E424" s="57" t="s">
        <v>905</v>
      </c>
    </row>
    <row r="425" spans="1:5" x14ac:dyDescent="0.35">
      <c r="A425" s="57" t="s">
        <v>1193</v>
      </c>
      <c r="B425" s="57" t="s">
        <v>1194</v>
      </c>
      <c r="C425" s="57" t="s">
        <v>394</v>
      </c>
      <c r="D425" s="57" t="s">
        <v>283</v>
      </c>
      <c r="E425" s="57" t="s">
        <v>905</v>
      </c>
    </row>
    <row r="426" spans="1:5" x14ac:dyDescent="0.35">
      <c r="A426" s="57" t="s">
        <v>1195</v>
      </c>
      <c r="B426" s="57" t="s">
        <v>1196</v>
      </c>
      <c r="C426" s="57" t="s">
        <v>394</v>
      </c>
      <c r="D426" s="57" t="s">
        <v>283</v>
      </c>
      <c r="E426" s="57" t="s">
        <v>905</v>
      </c>
    </row>
    <row r="427" spans="1:5" x14ac:dyDescent="0.35">
      <c r="A427" s="57" t="s">
        <v>1197</v>
      </c>
      <c r="B427" s="57" t="s">
        <v>1198</v>
      </c>
      <c r="C427" s="57" t="s">
        <v>394</v>
      </c>
      <c r="D427" s="57" t="s">
        <v>283</v>
      </c>
      <c r="E427" s="57" t="s">
        <v>423</v>
      </c>
    </row>
    <row r="428" spans="1:5" x14ac:dyDescent="0.35">
      <c r="A428" s="57" t="s">
        <v>1199</v>
      </c>
      <c r="B428" s="57" t="s">
        <v>1200</v>
      </c>
      <c r="C428" s="57" t="s">
        <v>394</v>
      </c>
      <c r="D428" s="57" t="s">
        <v>283</v>
      </c>
      <c r="E428" s="57" t="s">
        <v>905</v>
      </c>
    </row>
    <row r="429" spans="1:5" x14ac:dyDescent="0.35">
      <c r="A429" s="57" t="s">
        <v>1201</v>
      </c>
      <c r="B429" s="57" t="s">
        <v>1202</v>
      </c>
      <c r="C429" s="57" t="s">
        <v>394</v>
      </c>
      <c r="D429" s="57" t="s">
        <v>283</v>
      </c>
      <c r="E429" s="57" t="s">
        <v>905</v>
      </c>
    </row>
    <row r="430" spans="1:5" x14ac:dyDescent="0.35">
      <c r="A430" s="57" t="s">
        <v>1203</v>
      </c>
      <c r="B430" s="57" t="s">
        <v>1204</v>
      </c>
      <c r="C430" s="57" t="s">
        <v>394</v>
      </c>
      <c r="D430" s="57" t="s">
        <v>283</v>
      </c>
      <c r="E430" s="57" t="s">
        <v>905</v>
      </c>
    </row>
    <row r="431" spans="1:5" x14ac:dyDescent="0.35">
      <c r="A431" s="57" t="s">
        <v>1205</v>
      </c>
      <c r="B431" s="57" t="s">
        <v>1206</v>
      </c>
      <c r="C431" s="57" t="s">
        <v>394</v>
      </c>
      <c r="D431" s="57" t="s">
        <v>283</v>
      </c>
      <c r="E431" s="57" t="s">
        <v>362</v>
      </c>
    </row>
    <row r="432" spans="1:5" x14ac:dyDescent="0.35">
      <c r="A432" s="57" t="s">
        <v>1207</v>
      </c>
      <c r="B432" s="57" t="s">
        <v>1208</v>
      </c>
      <c r="C432" s="57" t="s">
        <v>394</v>
      </c>
      <c r="D432" s="57" t="s">
        <v>283</v>
      </c>
      <c r="E432" s="57" t="s">
        <v>528</v>
      </c>
    </row>
    <row r="433" spans="1:5" x14ac:dyDescent="0.35">
      <c r="A433" s="57" t="s">
        <v>1209</v>
      </c>
      <c r="B433" s="57" t="s">
        <v>1210</v>
      </c>
      <c r="C433" s="57" t="s">
        <v>394</v>
      </c>
      <c r="D433" s="57" t="s">
        <v>283</v>
      </c>
      <c r="E433" s="57" t="s">
        <v>528</v>
      </c>
    </row>
    <row r="434" spans="1:5" x14ac:dyDescent="0.35">
      <c r="A434" s="57" t="s">
        <v>1211</v>
      </c>
      <c r="B434" s="57" t="s">
        <v>1212</v>
      </c>
      <c r="C434" s="57" t="s">
        <v>394</v>
      </c>
      <c r="D434" s="57" t="s">
        <v>283</v>
      </c>
      <c r="E434" s="57" t="s">
        <v>528</v>
      </c>
    </row>
    <row r="435" spans="1:5" x14ac:dyDescent="0.35">
      <c r="A435" s="57" t="s">
        <v>1213</v>
      </c>
      <c r="B435" s="57" t="s">
        <v>1214</v>
      </c>
      <c r="C435" s="57" t="s">
        <v>394</v>
      </c>
      <c r="D435" s="57" t="s">
        <v>283</v>
      </c>
      <c r="E435" s="57" t="s">
        <v>536</v>
      </c>
    </row>
    <row r="436" spans="1:5" x14ac:dyDescent="0.35">
      <c r="A436" s="57" t="s">
        <v>1215</v>
      </c>
      <c r="B436" s="57" t="s">
        <v>1216</v>
      </c>
      <c r="C436" s="57" t="s">
        <v>394</v>
      </c>
      <c r="D436" s="57" t="s">
        <v>283</v>
      </c>
      <c r="E436" s="57" t="s">
        <v>536</v>
      </c>
    </row>
    <row r="437" spans="1:5" x14ac:dyDescent="0.35">
      <c r="A437" s="57" t="s">
        <v>1217</v>
      </c>
      <c r="B437" s="57" t="s">
        <v>1218</v>
      </c>
      <c r="C437" s="57" t="s">
        <v>394</v>
      </c>
      <c r="D437" s="57" t="s">
        <v>283</v>
      </c>
      <c r="E437" s="57" t="s">
        <v>536</v>
      </c>
    </row>
    <row r="438" spans="1:5" x14ac:dyDescent="0.35">
      <c r="A438" s="57" t="s">
        <v>1219</v>
      </c>
      <c r="B438" s="57" t="s">
        <v>1220</v>
      </c>
      <c r="C438" s="57" t="s">
        <v>394</v>
      </c>
      <c r="D438" s="57" t="s">
        <v>283</v>
      </c>
      <c r="E438" s="57" t="s">
        <v>536</v>
      </c>
    </row>
    <row r="439" spans="1:5" x14ac:dyDescent="0.35">
      <c r="A439" s="57" t="s">
        <v>1221</v>
      </c>
      <c r="B439" s="57" t="s">
        <v>1198</v>
      </c>
      <c r="C439" s="57" t="s">
        <v>394</v>
      </c>
      <c r="D439" s="57" t="s">
        <v>283</v>
      </c>
      <c r="E439" s="57" t="s">
        <v>536</v>
      </c>
    </row>
    <row r="440" spans="1:5" x14ac:dyDescent="0.35">
      <c r="A440" s="57" t="s">
        <v>1222</v>
      </c>
      <c r="B440" s="57" t="s">
        <v>1214</v>
      </c>
      <c r="C440" s="57" t="s">
        <v>394</v>
      </c>
      <c r="D440" s="57" t="s">
        <v>283</v>
      </c>
      <c r="E440" s="57" t="s">
        <v>536</v>
      </c>
    </row>
    <row r="441" spans="1:5" x14ac:dyDescent="0.35">
      <c r="A441" s="57" t="s">
        <v>1223</v>
      </c>
      <c r="B441" s="57" t="s">
        <v>1224</v>
      </c>
      <c r="C441" s="57" t="s">
        <v>394</v>
      </c>
      <c r="D441" s="57" t="s">
        <v>283</v>
      </c>
      <c r="E441" s="57" t="s">
        <v>536</v>
      </c>
    </row>
    <row r="442" spans="1:5" x14ac:dyDescent="0.35">
      <c r="A442" s="57" t="s">
        <v>1225</v>
      </c>
      <c r="B442" s="57" t="s">
        <v>1226</v>
      </c>
      <c r="C442" s="57" t="s">
        <v>394</v>
      </c>
      <c r="D442" s="57" t="s">
        <v>283</v>
      </c>
      <c r="E442" s="57" t="s">
        <v>536</v>
      </c>
    </row>
    <row r="443" spans="1:5" x14ac:dyDescent="0.35">
      <c r="A443" s="57" t="s">
        <v>1227</v>
      </c>
      <c r="B443" s="57" t="s">
        <v>1228</v>
      </c>
      <c r="C443" s="57" t="s">
        <v>394</v>
      </c>
      <c r="D443" s="57" t="s">
        <v>283</v>
      </c>
      <c r="E443" s="57" t="s">
        <v>536</v>
      </c>
    </row>
    <row r="444" spans="1:5" x14ac:dyDescent="0.35">
      <c r="A444" s="57" t="s">
        <v>1229</v>
      </c>
      <c r="B444" s="57" t="s">
        <v>1230</v>
      </c>
      <c r="C444" s="57" t="s">
        <v>394</v>
      </c>
      <c r="D444" s="57" t="s">
        <v>283</v>
      </c>
      <c r="E444" s="57" t="s">
        <v>536</v>
      </c>
    </row>
    <row r="445" spans="1:5" x14ac:dyDescent="0.35">
      <c r="A445" s="57" t="s">
        <v>1231</v>
      </c>
      <c r="B445" s="57" t="s">
        <v>1232</v>
      </c>
      <c r="C445" s="57" t="s">
        <v>394</v>
      </c>
      <c r="D445" s="57" t="s">
        <v>283</v>
      </c>
      <c r="E445" s="57" t="s">
        <v>536</v>
      </c>
    </row>
    <row r="446" spans="1:5" x14ac:dyDescent="0.35">
      <c r="A446" s="57" t="s">
        <v>1233</v>
      </c>
      <c r="B446" s="57" t="s">
        <v>1234</v>
      </c>
      <c r="C446" s="57" t="s">
        <v>394</v>
      </c>
      <c r="D446" s="57" t="s">
        <v>283</v>
      </c>
      <c r="E446" s="57" t="s">
        <v>536</v>
      </c>
    </row>
    <row r="447" spans="1:5" x14ac:dyDescent="0.35">
      <c r="A447" s="57" t="s">
        <v>1235</v>
      </c>
      <c r="B447" s="57" t="s">
        <v>1236</v>
      </c>
      <c r="C447" s="57" t="s">
        <v>394</v>
      </c>
      <c r="D447" s="57" t="s">
        <v>283</v>
      </c>
      <c r="E447" s="57" t="s">
        <v>536</v>
      </c>
    </row>
    <row r="448" spans="1:5" x14ac:dyDescent="0.35">
      <c r="A448" s="378" t="s">
        <v>2082</v>
      </c>
      <c r="B448" s="378" t="s">
        <v>2083</v>
      </c>
      <c r="C448" s="378" t="s">
        <v>394</v>
      </c>
      <c r="D448" s="379" t="s">
        <v>284</v>
      </c>
      <c r="E448" s="379" t="s">
        <v>179</v>
      </c>
    </row>
    <row r="449" spans="1:5" x14ac:dyDescent="0.35">
      <c r="A449" s="378" t="s">
        <v>2084</v>
      </c>
      <c r="B449" s="378" t="s">
        <v>2085</v>
      </c>
      <c r="C449" s="378" t="s">
        <v>394</v>
      </c>
      <c r="D449" s="379" t="s">
        <v>284</v>
      </c>
      <c r="E449" s="379" t="s">
        <v>423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23E7A-16B4-4E96-96C9-189DEE893D63}">
  <sheetPr>
    <tabColor theme="7" tint="0.59999389629810485"/>
  </sheetPr>
  <dimension ref="A1:F988"/>
  <sheetViews>
    <sheetView topLeftCell="A971" workbookViewId="0"/>
  </sheetViews>
  <sheetFormatPr defaultRowHeight="14.5" x14ac:dyDescent="0.35"/>
  <cols>
    <col min="1" max="1" width="16.453125" style="49" bestFit="1" customWidth="1"/>
    <col min="2" max="2" width="17.26953125" style="49" bestFit="1" customWidth="1"/>
    <col min="3" max="3" width="20.6328125" style="49" bestFit="1" customWidth="1"/>
    <col min="4" max="4" width="12.26953125" style="49" bestFit="1" customWidth="1"/>
    <col min="5" max="5" width="11.81640625" style="49" bestFit="1" customWidth="1"/>
    <col min="6" max="6" width="14.6328125" style="49" bestFit="1" customWidth="1"/>
    <col min="7" max="16384" width="8.7265625" style="50"/>
  </cols>
  <sheetData>
    <row r="1" spans="1:6" x14ac:dyDescent="0.35">
      <c r="A1" s="49" t="s">
        <v>1266</v>
      </c>
      <c r="B1" s="49" t="s">
        <v>1267</v>
      </c>
      <c r="C1" s="53" t="s">
        <v>1314</v>
      </c>
      <c r="D1" s="49" t="s">
        <v>1268</v>
      </c>
      <c r="E1" s="49" t="s">
        <v>48</v>
      </c>
      <c r="F1" s="49" t="s">
        <v>1269</v>
      </c>
    </row>
    <row r="2" spans="1:6" x14ac:dyDescent="0.35">
      <c r="A2" s="49" t="s">
        <v>664</v>
      </c>
      <c r="B2" s="49" t="s">
        <v>1270</v>
      </c>
      <c r="C2" s="49" t="str">
        <f>A2&amp;"_"&amp;B2</f>
        <v>43085-01_008</v>
      </c>
      <c r="D2" s="51">
        <v>2.681</v>
      </c>
      <c r="E2" s="51">
        <v>2.6937499999999996</v>
      </c>
      <c r="F2" s="52">
        <v>0.47</v>
      </c>
    </row>
    <row r="3" spans="1:6" x14ac:dyDescent="0.35">
      <c r="A3" s="49" t="s">
        <v>664</v>
      </c>
      <c r="B3" s="49" t="s">
        <v>1271</v>
      </c>
      <c r="C3" s="49" t="str">
        <f t="shared" ref="C3:C66" si="0">A3&amp;"_"&amp;B3</f>
        <v>43085-01_009</v>
      </c>
      <c r="D3" s="51">
        <v>2.6604999999999999</v>
      </c>
      <c r="E3" s="51">
        <v>2.6775000000000002</v>
      </c>
      <c r="F3" s="52">
        <v>0.63500000000000001</v>
      </c>
    </row>
    <row r="4" spans="1:6" x14ac:dyDescent="0.35">
      <c r="A4" s="49" t="s">
        <v>664</v>
      </c>
      <c r="B4" s="49" t="s">
        <v>1272</v>
      </c>
      <c r="C4" s="49" t="str">
        <f t="shared" si="0"/>
        <v>43085-01_057</v>
      </c>
      <c r="D4" s="51">
        <v>2.7013333333333329</v>
      </c>
      <c r="E4" s="51">
        <v>2.7096666666666671</v>
      </c>
      <c r="F4" s="52">
        <v>0.31666666666666665</v>
      </c>
    </row>
    <row r="5" spans="1:6" x14ac:dyDescent="0.35">
      <c r="A5" s="49" t="s">
        <v>664</v>
      </c>
      <c r="B5" s="49" t="s">
        <v>1273</v>
      </c>
      <c r="C5" s="49" t="str">
        <f t="shared" si="0"/>
        <v>43085-01_SD5</v>
      </c>
      <c r="D5" s="51">
        <v>2.6737500000000001</v>
      </c>
      <c r="E5" s="51">
        <v>2.6909999999999998</v>
      </c>
      <c r="F5" s="52">
        <v>0.64500000000000002</v>
      </c>
    </row>
    <row r="6" spans="1:6" x14ac:dyDescent="0.35">
      <c r="A6" s="49" t="s">
        <v>650</v>
      </c>
      <c r="B6" s="49" t="s">
        <v>1270</v>
      </c>
      <c r="C6" s="49" t="str">
        <f t="shared" si="0"/>
        <v>43076-01_008</v>
      </c>
      <c r="D6" s="51">
        <v>2.6793333333333336</v>
      </c>
      <c r="E6" s="51">
        <v>2.6916666666666664</v>
      </c>
      <c r="F6" s="52">
        <v>0.45999999999999996</v>
      </c>
    </row>
    <row r="7" spans="1:6" x14ac:dyDescent="0.35">
      <c r="A7" s="49" t="s">
        <v>650</v>
      </c>
      <c r="B7" s="49" t="s">
        <v>1271</v>
      </c>
      <c r="C7" s="49" t="str">
        <f t="shared" si="0"/>
        <v>43076-01_009</v>
      </c>
      <c r="D7" s="51">
        <v>2.6539999999999999</v>
      </c>
      <c r="E7" s="51">
        <v>2.6716666666666669</v>
      </c>
      <c r="F7" s="52">
        <v>0.67666666666666675</v>
      </c>
    </row>
    <row r="8" spans="1:6" x14ac:dyDescent="0.35">
      <c r="A8" s="49" t="s">
        <v>650</v>
      </c>
      <c r="B8" s="49" t="s">
        <v>1272</v>
      </c>
      <c r="C8" s="49" t="str">
        <f t="shared" si="0"/>
        <v>43076-01_057</v>
      </c>
      <c r="D8" s="51">
        <v>2.6913333333333331</v>
      </c>
      <c r="E8" s="51">
        <v>2.6999999999999997</v>
      </c>
      <c r="F8" s="52">
        <v>0.34333333333333332</v>
      </c>
    </row>
    <row r="9" spans="1:6" x14ac:dyDescent="0.35">
      <c r="A9" s="49" t="s">
        <v>650</v>
      </c>
      <c r="B9" s="49" t="s">
        <v>1273</v>
      </c>
      <c r="C9" s="49" t="str">
        <f t="shared" si="0"/>
        <v>43076-01_SD5</v>
      </c>
      <c r="D9" s="51">
        <v>2.6693333333333338</v>
      </c>
      <c r="E9" s="51">
        <v>2.6873333333333331</v>
      </c>
      <c r="F9" s="52">
        <v>0.66</v>
      </c>
    </row>
    <row r="10" spans="1:6" x14ac:dyDescent="0.35">
      <c r="A10" s="49" t="s">
        <v>624</v>
      </c>
      <c r="B10" s="49" t="s">
        <v>1270</v>
      </c>
      <c r="C10" s="49" t="str">
        <f t="shared" si="0"/>
        <v>43039-01_008</v>
      </c>
      <c r="D10" s="51">
        <v>2.5261666666666667</v>
      </c>
      <c r="E10" s="51">
        <v>2.5790000000000002</v>
      </c>
      <c r="F10" s="52">
        <v>2.0966666666666671</v>
      </c>
    </row>
    <row r="11" spans="1:6" x14ac:dyDescent="0.35">
      <c r="A11" s="49" t="s">
        <v>624</v>
      </c>
      <c r="B11" s="49" t="s">
        <v>1271</v>
      </c>
      <c r="C11" s="49" t="str">
        <f t="shared" si="0"/>
        <v>43039-01_009</v>
      </c>
      <c r="D11" s="51">
        <v>2.5369999999999999</v>
      </c>
      <c r="E11" s="51">
        <v>2.5920000000000001</v>
      </c>
      <c r="F11" s="52">
        <v>2.2000000000000002</v>
      </c>
    </row>
    <row r="12" spans="1:6" x14ac:dyDescent="0.35">
      <c r="A12" s="49" t="s">
        <v>624</v>
      </c>
      <c r="B12" s="49" t="s">
        <v>1272</v>
      </c>
      <c r="C12" s="49" t="str">
        <f t="shared" si="0"/>
        <v>43039-01_057</v>
      </c>
      <c r="D12" s="51">
        <v>2.5297142857142854</v>
      </c>
      <c r="E12" s="51">
        <v>2.5821428571428569</v>
      </c>
      <c r="F12" s="52">
        <v>2.0714285714285716</v>
      </c>
    </row>
    <row r="13" spans="1:6" x14ac:dyDescent="0.35">
      <c r="A13" s="49" t="s">
        <v>624</v>
      </c>
      <c r="B13" s="49" t="s">
        <v>1274</v>
      </c>
      <c r="C13" s="49" t="str">
        <f t="shared" si="0"/>
        <v>43039-01_SD2</v>
      </c>
      <c r="D13" s="51">
        <v>2.6053333333333333</v>
      </c>
      <c r="E13" s="51">
        <v>2.629</v>
      </c>
      <c r="F13" s="52">
        <v>0.9</v>
      </c>
    </row>
    <row r="14" spans="1:6" x14ac:dyDescent="0.35">
      <c r="A14" s="49" t="s">
        <v>624</v>
      </c>
      <c r="B14" s="49" t="s">
        <v>1273</v>
      </c>
      <c r="C14" s="49" t="str">
        <f t="shared" si="0"/>
        <v>43039-01_SD5</v>
      </c>
      <c r="D14" s="51">
        <v>2.5892499999999998</v>
      </c>
      <c r="E14" s="51">
        <v>2.617</v>
      </c>
      <c r="F14" s="52">
        <v>1.0674999999999999</v>
      </c>
    </row>
    <row r="15" spans="1:6" x14ac:dyDescent="0.35">
      <c r="A15" s="49" t="s">
        <v>588</v>
      </c>
      <c r="B15" s="49" t="s">
        <v>1270</v>
      </c>
      <c r="C15" s="49" t="str">
        <f t="shared" si="0"/>
        <v>43003-01_008</v>
      </c>
      <c r="D15" s="51">
        <v>2.5662499999999997</v>
      </c>
      <c r="E15" s="51">
        <v>2.617</v>
      </c>
      <c r="F15" s="52">
        <v>1.9775</v>
      </c>
    </row>
    <row r="16" spans="1:6" x14ac:dyDescent="0.35">
      <c r="A16" s="49" t="s">
        <v>588</v>
      </c>
      <c r="B16" s="49" t="s">
        <v>1271</v>
      </c>
      <c r="C16" s="49" t="str">
        <f t="shared" si="0"/>
        <v>43003-01_009</v>
      </c>
      <c r="D16" s="51">
        <v>2.5063333333333335</v>
      </c>
      <c r="E16" s="51">
        <v>2.58</v>
      </c>
      <c r="F16" s="52">
        <v>2.9466666666666668</v>
      </c>
    </row>
    <row r="17" spans="1:6" x14ac:dyDescent="0.35">
      <c r="A17" s="49" t="s">
        <v>588</v>
      </c>
      <c r="B17" s="49" t="s">
        <v>1272</v>
      </c>
      <c r="C17" s="49" t="str">
        <f t="shared" si="0"/>
        <v>43003-01_057</v>
      </c>
      <c r="D17" s="51">
        <v>2.5612500000000002</v>
      </c>
      <c r="E17" s="51">
        <v>2.613</v>
      </c>
      <c r="F17" s="52">
        <v>2.0324999999999998</v>
      </c>
    </row>
    <row r="18" spans="1:6" x14ac:dyDescent="0.35">
      <c r="A18" s="49" t="s">
        <v>588</v>
      </c>
      <c r="B18" s="49" t="s">
        <v>1274</v>
      </c>
      <c r="C18" s="49" t="str">
        <f t="shared" si="0"/>
        <v>43003-01_SD2</v>
      </c>
      <c r="D18" s="51">
        <v>2.6007500000000006</v>
      </c>
      <c r="E18" s="51">
        <v>2.6312499999999996</v>
      </c>
      <c r="F18" s="52">
        <v>1.175</v>
      </c>
    </row>
    <row r="19" spans="1:6" x14ac:dyDescent="0.35">
      <c r="A19" s="49" t="s">
        <v>588</v>
      </c>
      <c r="B19" s="49" t="s">
        <v>1273</v>
      </c>
      <c r="C19" s="49" t="str">
        <f t="shared" si="0"/>
        <v>43003-01_SD5</v>
      </c>
      <c r="D19" s="51">
        <v>2.6020000000000003</v>
      </c>
      <c r="E19" s="51">
        <v>2.6349999999999998</v>
      </c>
      <c r="F19" s="52">
        <v>1.28</v>
      </c>
    </row>
    <row r="20" spans="1:6" x14ac:dyDescent="0.35">
      <c r="A20" s="49" t="s">
        <v>666</v>
      </c>
      <c r="B20" s="49" t="s">
        <v>1270</v>
      </c>
      <c r="C20" s="49" t="str">
        <f t="shared" si="0"/>
        <v>43086-01_008</v>
      </c>
      <c r="D20" s="51">
        <v>2.6869999999999998</v>
      </c>
      <c r="E20" s="51">
        <v>2.6985000000000001</v>
      </c>
      <c r="F20" s="52">
        <v>0.42500000000000004</v>
      </c>
    </row>
    <row r="21" spans="1:6" x14ac:dyDescent="0.35">
      <c r="A21" s="49" t="s">
        <v>666</v>
      </c>
      <c r="B21" s="49" t="s">
        <v>1272</v>
      </c>
      <c r="C21" s="49" t="str">
        <f t="shared" si="0"/>
        <v>43086-01_057</v>
      </c>
      <c r="D21" s="51">
        <v>2.6933333333333334</v>
      </c>
      <c r="E21" s="51">
        <v>2.702666666666667</v>
      </c>
      <c r="F21" s="52">
        <v>0.34999999999999992</v>
      </c>
    </row>
    <row r="22" spans="1:6" x14ac:dyDescent="0.35">
      <c r="A22" s="49" t="s">
        <v>662</v>
      </c>
      <c r="B22" s="49" t="s">
        <v>1270</v>
      </c>
      <c r="C22" s="49" t="str">
        <f t="shared" si="0"/>
        <v>43084-01_008</v>
      </c>
      <c r="D22" s="51">
        <v>2.6645000000000003</v>
      </c>
      <c r="E22" s="51">
        <v>2.6790000000000003</v>
      </c>
      <c r="F22" s="52">
        <v>0.53500000000000003</v>
      </c>
    </row>
    <row r="23" spans="1:6" x14ac:dyDescent="0.35">
      <c r="A23" s="49" t="s">
        <v>662</v>
      </c>
      <c r="B23" s="49" t="s">
        <v>1272</v>
      </c>
      <c r="C23" s="49" t="str">
        <f t="shared" si="0"/>
        <v>43084-01_057</v>
      </c>
      <c r="D23" s="51">
        <v>2.6829999999999998</v>
      </c>
      <c r="E23" s="51">
        <v>2.6950000000000003</v>
      </c>
      <c r="F23" s="52">
        <v>0.44999999999999996</v>
      </c>
    </row>
    <row r="24" spans="1:6" x14ac:dyDescent="0.35">
      <c r="A24" s="49" t="s">
        <v>961</v>
      </c>
      <c r="B24" s="49" t="s">
        <v>1275</v>
      </c>
      <c r="C24" s="49" t="str">
        <f t="shared" si="0"/>
        <v>47091-01_004M</v>
      </c>
      <c r="D24" s="51">
        <v>2.6789999999999998</v>
      </c>
      <c r="E24" s="51">
        <v>2.6933333333333334</v>
      </c>
      <c r="F24" s="52">
        <v>0.53</v>
      </c>
    </row>
    <row r="25" spans="1:6" x14ac:dyDescent="0.35">
      <c r="A25" s="49" t="s">
        <v>961</v>
      </c>
      <c r="B25" s="49" t="s">
        <v>1270</v>
      </c>
      <c r="C25" s="49" t="str">
        <f t="shared" si="0"/>
        <v>47091-01_008</v>
      </c>
      <c r="D25" s="51">
        <v>2.6709999999999998</v>
      </c>
      <c r="E25" s="51">
        <v>2.6894999999999998</v>
      </c>
      <c r="F25" s="52">
        <v>0.68499999999999994</v>
      </c>
    </row>
    <row r="26" spans="1:6" x14ac:dyDescent="0.35">
      <c r="A26" s="49" t="s">
        <v>961</v>
      </c>
      <c r="B26" s="49" t="s">
        <v>1271</v>
      </c>
      <c r="C26" s="49" t="str">
        <f t="shared" si="0"/>
        <v>47091-01_009</v>
      </c>
      <c r="D26" s="51">
        <v>2.6404999999999998</v>
      </c>
      <c r="E26" s="51">
        <v>2.6657500000000001</v>
      </c>
      <c r="F26" s="52">
        <v>0.94499999999999995</v>
      </c>
    </row>
    <row r="27" spans="1:6" x14ac:dyDescent="0.35">
      <c r="A27" s="49" t="s">
        <v>961</v>
      </c>
      <c r="B27" s="49" t="s">
        <v>1276</v>
      </c>
      <c r="C27" s="49" t="str">
        <f t="shared" si="0"/>
        <v>47091-01_010</v>
      </c>
      <c r="D27" s="51">
        <v>2.6632499999999997</v>
      </c>
      <c r="E27" s="51">
        <v>2.6894999999999998</v>
      </c>
      <c r="F27" s="52">
        <v>0.98</v>
      </c>
    </row>
    <row r="28" spans="1:6" x14ac:dyDescent="0.35">
      <c r="A28" s="49" t="s">
        <v>961</v>
      </c>
      <c r="B28" s="49" t="s">
        <v>1272</v>
      </c>
      <c r="C28" s="49" t="str">
        <f t="shared" si="0"/>
        <v>47091-01_057</v>
      </c>
      <c r="D28" s="51">
        <v>2.6795</v>
      </c>
      <c r="E28" s="51">
        <v>2.6952500000000001</v>
      </c>
      <c r="F28" s="52">
        <v>0.58250000000000002</v>
      </c>
    </row>
    <row r="29" spans="1:6" x14ac:dyDescent="0.35">
      <c r="A29" s="49" t="s">
        <v>961</v>
      </c>
      <c r="B29" s="49" t="s">
        <v>1277</v>
      </c>
      <c r="C29" s="49" t="str">
        <f t="shared" si="0"/>
        <v>47091-01_078M</v>
      </c>
      <c r="D29" s="51">
        <v>2.6829999999999998</v>
      </c>
      <c r="E29" s="51">
        <v>2.7</v>
      </c>
      <c r="F29" s="52">
        <v>0.61</v>
      </c>
    </row>
    <row r="30" spans="1:6" x14ac:dyDescent="0.35">
      <c r="A30" s="49" t="s">
        <v>961</v>
      </c>
      <c r="B30" s="49" t="s">
        <v>1278</v>
      </c>
      <c r="C30" s="49" t="str">
        <f t="shared" si="0"/>
        <v>47091-01_304</v>
      </c>
      <c r="D30" s="51">
        <v>2.673</v>
      </c>
      <c r="E30" s="51">
        <v>2.6859999999999999</v>
      </c>
      <c r="F30" s="52">
        <v>0.48</v>
      </c>
    </row>
    <row r="31" spans="1:6" x14ac:dyDescent="0.35">
      <c r="A31" s="49" t="s">
        <v>523</v>
      </c>
      <c r="B31" s="49" t="s">
        <v>1279</v>
      </c>
      <c r="C31" s="49" t="str">
        <f t="shared" si="0"/>
        <v>41063-01_004</v>
      </c>
      <c r="D31" s="51">
        <v>2.5880000000000001</v>
      </c>
      <c r="E31" s="51">
        <v>2.6244999999999998</v>
      </c>
      <c r="F31" s="52">
        <v>1.395</v>
      </c>
    </row>
    <row r="32" spans="1:6" x14ac:dyDescent="0.35">
      <c r="A32" s="49" t="s">
        <v>523</v>
      </c>
      <c r="B32" s="49" t="s">
        <v>1280</v>
      </c>
      <c r="C32" s="49" t="str">
        <f t="shared" si="0"/>
        <v>41063-01_007M</v>
      </c>
      <c r="D32" s="51">
        <v>2.6473333333333335</v>
      </c>
      <c r="E32" s="51">
        <v>2.6876666666666669</v>
      </c>
      <c r="F32" s="52">
        <v>1.5233333333333332</v>
      </c>
    </row>
    <row r="33" spans="1:6" x14ac:dyDescent="0.35">
      <c r="A33" s="49" t="s">
        <v>523</v>
      </c>
      <c r="B33" s="49" t="s">
        <v>1270</v>
      </c>
      <c r="C33" s="49" t="str">
        <f t="shared" si="0"/>
        <v>41063-01_008</v>
      </c>
      <c r="D33" s="51">
        <v>2.6676000000000002</v>
      </c>
      <c r="E33" s="51">
        <v>2.7038000000000002</v>
      </c>
      <c r="F33" s="52">
        <v>1.3599999999999999</v>
      </c>
    </row>
    <row r="34" spans="1:6" x14ac:dyDescent="0.35">
      <c r="A34" s="49" t="s">
        <v>523</v>
      </c>
      <c r="B34" s="49" t="s">
        <v>1271</v>
      </c>
      <c r="C34" s="49" t="str">
        <f t="shared" si="0"/>
        <v>41063-01_009</v>
      </c>
      <c r="D34" s="51">
        <v>2.633</v>
      </c>
      <c r="E34" s="51">
        <v>2.688333333333333</v>
      </c>
      <c r="F34" s="52">
        <v>2.11</v>
      </c>
    </row>
    <row r="35" spans="1:6" x14ac:dyDescent="0.35">
      <c r="A35" s="49" t="s">
        <v>523</v>
      </c>
      <c r="B35" s="49" t="s">
        <v>1276</v>
      </c>
      <c r="C35" s="49" t="str">
        <f t="shared" si="0"/>
        <v>41063-01_010</v>
      </c>
      <c r="D35" s="51">
        <v>2.7646666666666668</v>
      </c>
      <c r="E35" s="51">
        <v>2.7769999999999997</v>
      </c>
      <c r="F35" s="52">
        <v>0.45666666666666672</v>
      </c>
    </row>
    <row r="36" spans="1:6" x14ac:dyDescent="0.35">
      <c r="A36" s="49" t="s">
        <v>523</v>
      </c>
      <c r="B36" s="49" t="s">
        <v>1272</v>
      </c>
      <c r="C36" s="49" t="str">
        <f t="shared" si="0"/>
        <v>41063-01_057</v>
      </c>
      <c r="D36" s="51">
        <v>2.6383333333333332</v>
      </c>
      <c r="E36" s="51">
        <v>2.6736666666666662</v>
      </c>
      <c r="F36" s="52">
        <v>1.3366666666666669</v>
      </c>
    </row>
    <row r="37" spans="1:6" x14ac:dyDescent="0.35">
      <c r="A37" s="49" t="s">
        <v>523</v>
      </c>
      <c r="B37" s="49" t="s">
        <v>1274</v>
      </c>
      <c r="C37" s="49" t="str">
        <f t="shared" si="0"/>
        <v>41063-01_SD2</v>
      </c>
      <c r="D37" s="51">
        <v>2.7726666666666664</v>
      </c>
      <c r="E37" s="51">
        <v>2.7863333333333333</v>
      </c>
      <c r="F37" s="52">
        <v>0.5033333333333333</v>
      </c>
    </row>
    <row r="38" spans="1:6" x14ac:dyDescent="0.35">
      <c r="A38" s="49" t="s">
        <v>523</v>
      </c>
      <c r="B38" s="49" t="s">
        <v>1273</v>
      </c>
      <c r="C38" s="49" t="str">
        <f t="shared" si="0"/>
        <v>41063-01_SD5</v>
      </c>
      <c r="D38" s="51">
        <v>2.754666666666667</v>
      </c>
      <c r="E38" s="51">
        <v>2.7756666666666665</v>
      </c>
      <c r="F38" s="52">
        <v>0.75666666666666671</v>
      </c>
    </row>
    <row r="39" spans="1:6" x14ac:dyDescent="0.35">
      <c r="A39" s="49" t="s">
        <v>654</v>
      </c>
      <c r="B39" s="49" t="s">
        <v>1270</v>
      </c>
      <c r="C39" s="49" t="str">
        <f t="shared" si="0"/>
        <v>43078-01_008</v>
      </c>
      <c r="D39" s="51">
        <v>2.5016666666666669</v>
      </c>
      <c r="E39" s="51">
        <v>2.56</v>
      </c>
      <c r="F39" s="52">
        <v>2.3433333333333333</v>
      </c>
    </row>
    <row r="40" spans="1:6" x14ac:dyDescent="0.35">
      <c r="A40" s="49" t="s">
        <v>654</v>
      </c>
      <c r="B40" s="49" t="s">
        <v>1274</v>
      </c>
      <c r="C40" s="49" t="str">
        <f t="shared" si="0"/>
        <v>43078-01_SD2</v>
      </c>
      <c r="D40" s="51">
        <v>2.5845000000000002</v>
      </c>
      <c r="E40" s="51">
        <v>2.6115000000000004</v>
      </c>
      <c r="F40" s="52">
        <v>1.0350000000000001</v>
      </c>
    </row>
    <row r="41" spans="1:6" x14ac:dyDescent="0.35">
      <c r="A41" s="49" t="s">
        <v>654</v>
      </c>
      <c r="B41" s="49" t="s">
        <v>1273</v>
      </c>
      <c r="C41" s="49" t="str">
        <f t="shared" si="0"/>
        <v>43078-01_SD5</v>
      </c>
      <c r="D41" s="51">
        <v>2.5619999999999998</v>
      </c>
      <c r="E41" s="51">
        <v>2.5950000000000002</v>
      </c>
      <c r="F41" s="52">
        <v>1.3</v>
      </c>
    </row>
    <row r="42" spans="1:6" x14ac:dyDescent="0.35">
      <c r="A42" s="49" t="s">
        <v>830</v>
      </c>
      <c r="B42" s="49" t="s">
        <v>1279</v>
      </c>
      <c r="C42" s="49" t="str">
        <f t="shared" si="0"/>
        <v>46008-01_004</v>
      </c>
      <c r="D42" s="51">
        <v>2.6619999999999999</v>
      </c>
      <c r="E42" s="51">
        <v>2.6959999999999997</v>
      </c>
      <c r="F42" s="52">
        <v>1.2849999999999999</v>
      </c>
    </row>
    <row r="43" spans="1:6" x14ac:dyDescent="0.35">
      <c r="A43" s="49" t="s">
        <v>830</v>
      </c>
      <c r="B43" s="49" t="s">
        <v>1270</v>
      </c>
      <c r="C43" s="49" t="str">
        <f t="shared" si="0"/>
        <v>46008-01_008</v>
      </c>
      <c r="D43" s="51">
        <v>2.6376666666666666</v>
      </c>
      <c r="E43" s="51">
        <v>2.6816666666666666</v>
      </c>
      <c r="F43" s="52">
        <v>1.6933333333333334</v>
      </c>
    </row>
    <row r="44" spans="1:6" x14ac:dyDescent="0.35">
      <c r="A44" s="49" t="s">
        <v>830</v>
      </c>
      <c r="B44" s="49" t="s">
        <v>1271</v>
      </c>
      <c r="C44" s="49" t="str">
        <f t="shared" si="0"/>
        <v>46008-01_009</v>
      </c>
      <c r="D44" s="51">
        <v>2.6030000000000002</v>
      </c>
      <c r="E44" s="51">
        <v>2.6619999999999999</v>
      </c>
      <c r="F44" s="52">
        <v>2.2599999999999998</v>
      </c>
    </row>
    <row r="45" spans="1:6" x14ac:dyDescent="0.35">
      <c r="A45" s="49" t="s">
        <v>830</v>
      </c>
      <c r="B45" s="49" t="s">
        <v>1281</v>
      </c>
      <c r="C45" s="49" t="str">
        <f t="shared" si="0"/>
        <v>46008-01_009M</v>
      </c>
      <c r="D45" s="51">
        <v>2.6105</v>
      </c>
      <c r="E45" s="51">
        <v>2.6669999999999998</v>
      </c>
      <c r="F45" s="52">
        <v>2.1799999999999997</v>
      </c>
    </row>
    <row r="46" spans="1:6" x14ac:dyDescent="0.35">
      <c r="A46" s="49" t="s">
        <v>830</v>
      </c>
      <c r="B46" s="49" t="s">
        <v>1272</v>
      </c>
      <c r="C46" s="49" t="str">
        <f t="shared" si="0"/>
        <v>46008-01_057</v>
      </c>
      <c r="D46" s="51">
        <v>2.6389999999999998</v>
      </c>
      <c r="E46" s="51">
        <v>2.6793333333333336</v>
      </c>
      <c r="F46" s="52">
        <v>1.5333333333333332</v>
      </c>
    </row>
    <row r="47" spans="1:6" x14ac:dyDescent="0.35">
      <c r="A47" s="49" t="s">
        <v>830</v>
      </c>
      <c r="B47" s="49" t="s">
        <v>1274</v>
      </c>
      <c r="C47" s="49" t="str">
        <f t="shared" si="0"/>
        <v>46008-01_SD2</v>
      </c>
      <c r="D47" s="51">
        <v>2.6423333333333332</v>
      </c>
      <c r="E47" s="51">
        <v>2.6779999999999995</v>
      </c>
      <c r="F47" s="52">
        <v>1.3433333333333335</v>
      </c>
    </row>
    <row r="48" spans="1:6" x14ac:dyDescent="0.35">
      <c r="A48" s="49" t="s">
        <v>832</v>
      </c>
      <c r="B48" s="49" t="s">
        <v>1270</v>
      </c>
      <c r="C48" s="49" t="str">
        <f t="shared" si="0"/>
        <v>46008A-01_008</v>
      </c>
      <c r="D48" s="51">
        <v>2.6479999999999997</v>
      </c>
      <c r="E48" s="51">
        <v>2.6935000000000002</v>
      </c>
      <c r="F48" s="52">
        <v>1.72</v>
      </c>
    </row>
    <row r="49" spans="1:6" x14ac:dyDescent="0.35">
      <c r="A49" s="49" t="s">
        <v>832</v>
      </c>
      <c r="B49" s="49" t="s">
        <v>1281</v>
      </c>
      <c r="C49" s="49" t="str">
        <f t="shared" si="0"/>
        <v>46008A-01_009M</v>
      </c>
      <c r="D49" s="51">
        <v>2.6113333333333331</v>
      </c>
      <c r="E49" s="51">
        <v>2.6760000000000002</v>
      </c>
      <c r="F49" s="52">
        <v>2.4733333333333332</v>
      </c>
    </row>
    <row r="50" spans="1:6" x14ac:dyDescent="0.35">
      <c r="A50" s="49" t="s">
        <v>832</v>
      </c>
      <c r="B50" s="49" t="s">
        <v>1282</v>
      </c>
      <c r="C50" s="49" t="str">
        <f t="shared" si="0"/>
        <v>46008A-01_068</v>
      </c>
      <c r="D50" s="51">
        <v>2.6443333333333334</v>
      </c>
      <c r="E50" s="51">
        <v>2.6880000000000002</v>
      </c>
      <c r="F50" s="52">
        <v>1.6433333333333333</v>
      </c>
    </row>
    <row r="51" spans="1:6" x14ac:dyDescent="0.35">
      <c r="A51" s="49" t="s">
        <v>833</v>
      </c>
      <c r="B51" s="49" t="s">
        <v>1279</v>
      </c>
      <c r="C51" s="49" t="str">
        <f t="shared" si="0"/>
        <v>46009-01_004</v>
      </c>
      <c r="D51" s="51">
        <v>2.6626666666666665</v>
      </c>
      <c r="E51" s="51">
        <v>2.6903333333333332</v>
      </c>
      <c r="F51" s="52">
        <v>1.0366666666666666</v>
      </c>
    </row>
    <row r="52" spans="1:6" x14ac:dyDescent="0.35">
      <c r="A52" s="49" t="s">
        <v>833</v>
      </c>
      <c r="B52" s="49" t="s">
        <v>1272</v>
      </c>
      <c r="C52" s="49" t="str">
        <f t="shared" si="0"/>
        <v>46009-01_057</v>
      </c>
      <c r="D52" s="51">
        <v>2.6557499999999998</v>
      </c>
      <c r="E52" s="51">
        <v>2.6880000000000002</v>
      </c>
      <c r="F52" s="52">
        <v>1.1975</v>
      </c>
    </row>
    <row r="53" spans="1:6" x14ac:dyDescent="0.35">
      <c r="A53" s="49" t="s">
        <v>927</v>
      </c>
      <c r="B53" s="49" t="s">
        <v>1279</v>
      </c>
      <c r="C53" s="49" t="str">
        <f t="shared" si="0"/>
        <v>47047-01_004</v>
      </c>
      <c r="D53" s="51">
        <v>2.7146666666666666</v>
      </c>
      <c r="E53" s="51">
        <v>2.7336666666666667</v>
      </c>
      <c r="F53" s="52">
        <v>0.70666666666666667</v>
      </c>
    </row>
    <row r="54" spans="1:6" x14ac:dyDescent="0.35">
      <c r="A54" s="49" t="s">
        <v>927</v>
      </c>
      <c r="B54" s="49" t="s">
        <v>1283</v>
      </c>
      <c r="C54" s="49" t="str">
        <f t="shared" si="0"/>
        <v>47047-01_006</v>
      </c>
      <c r="D54" s="51">
        <v>2.6943333333333328</v>
      </c>
      <c r="E54" s="51">
        <v>2.7210000000000001</v>
      </c>
      <c r="F54" s="52">
        <v>0.98666666666666669</v>
      </c>
    </row>
    <row r="55" spans="1:6" x14ac:dyDescent="0.35">
      <c r="A55" s="49" t="s">
        <v>927</v>
      </c>
      <c r="B55" s="49" t="s">
        <v>1270</v>
      </c>
      <c r="C55" s="49" t="str">
        <f t="shared" si="0"/>
        <v>47047-01_008</v>
      </c>
      <c r="D55" s="51">
        <v>2.6977500000000001</v>
      </c>
      <c r="E55" s="51">
        <v>2.7272499999999997</v>
      </c>
      <c r="F55" s="52">
        <v>1.095</v>
      </c>
    </row>
    <row r="56" spans="1:6" x14ac:dyDescent="0.35">
      <c r="A56" s="49" t="s">
        <v>927</v>
      </c>
      <c r="B56" s="49" t="s">
        <v>1281</v>
      </c>
      <c r="C56" s="49" t="str">
        <f t="shared" si="0"/>
        <v>47047-01_009M</v>
      </c>
      <c r="D56" s="51">
        <v>2.6574999999999998</v>
      </c>
      <c r="E56" s="51">
        <v>2.70275</v>
      </c>
      <c r="F56" s="52">
        <v>1.7275000000000003</v>
      </c>
    </row>
    <row r="57" spans="1:6" x14ac:dyDescent="0.35">
      <c r="A57" s="49" t="s">
        <v>927</v>
      </c>
      <c r="B57" s="49" t="s">
        <v>1284</v>
      </c>
      <c r="C57" s="49" t="str">
        <f t="shared" si="0"/>
        <v>47047-01_010M</v>
      </c>
      <c r="D57" s="51">
        <v>2.7256666666666667</v>
      </c>
      <c r="E57" s="51">
        <v>2.7513333333333332</v>
      </c>
      <c r="F57" s="52">
        <v>0.93</v>
      </c>
    </row>
    <row r="58" spans="1:6" x14ac:dyDescent="0.35">
      <c r="A58" s="49" t="s">
        <v>927</v>
      </c>
      <c r="B58" s="49" t="s">
        <v>1272</v>
      </c>
      <c r="C58" s="49" t="str">
        <f t="shared" si="0"/>
        <v>47047-01_057</v>
      </c>
      <c r="D58" s="51">
        <v>2.6868000000000003</v>
      </c>
      <c r="E58" s="51">
        <v>2.7174</v>
      </c>
      <c r="F58" s="52">
        <v>1.1379999999999999</v>
      </c>
    </row>
    <row r="59" spans="1:6" x14ac:dyDescent="0.35">
      <c r="A59" s="49" t="s">
        <v>927</v>
      </c>
      <c r="B59" s="49" t="s">
        <v>1273</v>
      </c>
      <c r="C59" s="49" t="str">
        <f t="shared" si="0"/>
        <v>47047-01_SD5</v>
      </c>
      <c r="D59" s="51">
        <v>2.7120000000000002</v>
      </c>
      <c r="E59" s="51">
        <v>2.7440000000000002</v>
      </c>
      <c r="F59" s="52">
        <v>1.1924999999999999</v>
      </c>
    </row>
    <row r="60" spans="1:6" x14ac:dyDescent="0.35">
      <c r="A60" s="49" t="s">
        <v>910</v>
      </c>
      <c r="B60" s="49" t="s">
        <v>1279</v>
      </c>
      <c r="C60" s="49" t="str">
        <f t="shared" si="0"/>
        <v>47035-01_004</v>
      </c>
      <c r="D60" s="51">
        <v>2.613</v>
      </c>
      <c r="E60" s="51">
        <v>2.6539999999999999</v>
      </c>
      <c r="F60" s="52">
        <v>1.58</v>
      </c>
    </row>
    <row r="61" spans="1:6" x14ac:dyDescent="0.35">
      <c r="A61" s="49" t="s">
        <v>910</v>
      </c>
      <c r="B61" s="49" t="s">
        <v>1275</v>
      </c>
      <c r="C61" s="49" t="str">
        <f t="shared" si="0"/>
        <v>47035-01_004M</v>
      </c>
      <c r="D61" s="51">
        <v>2.6520000000000001</v>
      </c>
      <c r="E61" s="51">
        <v>2.6760000000000002</v>
      </c>
      <c r="F61" s="52">
        <v>0.93</v>
      </c>
    </row>
    <row r="62" spans="1:6" x14ac:dyDescent="0.35">
      <c r="A62" s="49" t="s">
        <v>910</v>
      </c>
      <c r="B62" s="49" t="s">
        <v>1272</v>
      </c>
      <c r="C62" s="49" t="str">
        <f t="shared" si="0"/>
        <v>47035-01_057</v>
      </c>
      <c r="D62" s="51">
        <v>2.6259999999999999</v>
      </c>
      <c r="E62" s="51">
        <v>2.6656666666666666</v>
      </c>
      <c r="F62" s="52">
        <v>1.5133333333333334</v>
      </c>
    </row>
    <row r="63" spans="1:6" x14ac:dyDescent="0.35">
      <c r="A63" s="49" t="s">
        <v>839</v>
      </c>
      <c r="B63" s="49" t="s">
        <v>1270</v>
      </c>
      <c r="C63" s="49" t="str">
        <f t="shared" si="0"/>
        <v>46013-01_008</v>
      </c>
      <c r="D63" s="51">
        <v>2.6034999999999999</v>
      </c>
      <c r="E63" s="51">
        <v>2.6565000000000003</v>
      </c>
      <c r="F63" s="52">
        <v>2.02</v>
      </c>
    </row>
    <row r="64" spans="1:6" x14ac:dyDescent="0.35">
      <c r="A64" s="49" t="s">
        <v>839</v>
      </c>
      <c r="B64" s="49" t="s">
        <v>1281</v>
      </c>
      <c r="C64" s="49" t="str">
        <f t="shared" si="0"/>
        <v>46013-01_009M</v>
      </c>
      <c r="D64" s="51">
        <v>2.6044999999999998</v>
      </c>
      <c r="E64" s="51">
        <v>2.657</v>
      </c>
      <c r="F64" s="52">
        <v>2.0149999999999997</v>
      </c>
    </row>
    <row r="65" spans="1:6" x14ac:dyDescent="0.35">
      <c r="A65" s="49" t="s">
        <v>839</v>
      </c>
      <c r="B65" s="49" t="s">
        <v>1272</v>
      </c>
      <c r="C65" s="49" t="str">
        <f t="shared" si="0"/>
        <v>46013-01_057</v>
      </c>
      <c r="D65" s="51">
        <v>2.6425000000000001</v>
      </c>
      <c r="E65" s="51">
        <v>2.6805000000000003</v>
      </c>
      <c r="F65" s="52">
        <v>1.4249999999999998</v>
      </c>
    </row>
    <row r="66" spans="1:6" x14ac:dyDescent="0.35">
      <c r="A66" s="49" t="s">
        <v>839</v>
      </c>
      <c r="B66" s="49" t="s">
        <v>1274</v>
      </c>
      <c r="C66" s="49" t="str">
        <f t="shared" si="0"/>
        <v>46013-01_SD2</v>
      </c>
      <c r="D66" s="51">
        <v>2.6515</v>
      </c>
      <c r="E66" s="51">
        <v>2.6825000000000001</v>
      </c>
      <c r="F66" s="52">
        <v>1.165</v>
      </c>
    </row>
    <row r="67" spans="1:6" x14ac:dyDescent="0.35">
      <c r="A67" s="49" t="s">
        <v>841</v>
      </c>
      <c r="B67" s="49" t="s">
        <v>1270</v>
      </c>
      <c r="C67" s="49" t="str">
        <f t="shared" ref="C67:C130" si="1">A67&amp;"_"&amp;B67</f>
        <v>46013A-01_008</v>
      </c>
      <c r="D67" s="51">
        <v>2.6440000000000001</v>
      </c>
      <c r="E67" s="51">
        <v>2.6859999999999999</v>
      </c>
      <c r="F67" s="52">
        <v>1.57</v>
      </c>
    </row>
    <row r="68" spans="1:6" x14ac:dyDescent="0.35">
      <c r="A68" s="49" t="s">
        <v>841</v>
      </c>
      <c r="B68" s="49" t="s">
        <v>1282</v>
      </c>
      <c r="C68" s="49" t="str">
        <f t="shared" si="1"/>
        <v>46013A-01_068</v>
      </c>
      <c r="D68" s="51">
        <v>2.637</v>
      </c>
      <c r="E68" s="51">
        <v>2.6799999999999997</v>
      </c>
      <c r="F68" s="52">
        <v>1.62</v>
      </c>
    </row>
    <row r="69" spans="1:6" x14ac:dyDescent="0.35">
      <c r="A69" s="49" t="s">
        <v>852</v>
      </c>
      <c r="B69" s="49" t="s">
        <v>1270</v>
      </c>
      <c r="C69" s="49" t="str">
        <f t="shared" si="1"/>
        <v>46024-01_008</v>
      </c>
      <c r="D69" s="51">
        <v>2.5740000000000003</v>
      </c>
      <c r="E69" s="51">
        <v>2.6387499999999999</v>
      </c>
      <c r="F69" s="52">
        <v>2.52</v>
      </c>
    </row>
    <row r="70" spans="1:6" x14ac:dyDescent="0.35">
      <c r="A70" s="49" t="s">
        <v>852</v>
      </c>
      <c r="B70" s="49" t="s">
        <v>1281</v>
      </c>
      <c r="C70" s="49" t="str">
        <f t="shared" si="1"/>
        <v>46024-01_009M</v>
      </c>
      <c r="D70" s="51">
        <v>2.5532500000000002</v>
      </c>
      <c r="E70" s="51">
        <v>2.6292499999999999</v>
      </c>
      <c r="F70" s="52">
        <v>2.9749999999999996</v>
      </c>
    </row>
    <row r="71" spans="1:6" x14ac:dyDescent="0.35">
      <c r="A71" s="49" t="s">
        <v>852</v>
      </c>
      <c r="B71" s="49" t="s">
        <v>1272</v>
      </c>
      <c r="C71" s="49" t="str">
        <f t="shared" si="1"/>
        <v>46024-01_057</v>
      </c>
      <c r="D71" s="51">
        <v>2.6075999999999997</v>
      </c>
      <c r="E71" s="51">
        <v>2.6596000000000002</v>
      </c>
      <c r="F71" s="52">
        <v>1.998</v>
      </c>
    </row>
    <row r="72" spans="1:6" x14ac:dyDescent="0.35">
      <c r="A72" s="49" t="s">
        <v>852</v>
      </c>
      <c r="B72" s="49" t="s">
        <v>1274</v>
      </c>
      <c r="C72" s="49" t="str">
        <f t="shared" si="1"/>
        <v>46024-01_SD2</v>
      </c>
      <c r="D72" s="51">
        <v>2.6100000000000003</v>
      </c>
      <c r="E72" s="51">
        <v>2.6579999999999999</v>
      </c>
      <c r="F72" s="52">
        <v>1.835</v>
      </c>
    </row>
    <row r="73" spans="1:6" x14ac:dyDescent="0.35">
      <c r="A73" s="49" t="s">
        <v>852</v>
      </c>
      <c r="B73" s="49" t="s">
        <v>1273</v>
      </c>
      <c r="C73" s="49" t="str">
        <f t="shared" si="1"/>
        <v>46024-01_SD5</v>
      </c>
      <c r="D73" s="51">
        <v>2.585</v>
      </c>
      <c r="E73" s="51">
        <v>2.6469999999999998</v>
      </c>
      <c r="F73" s="52">
        <v>2.38</v>
      </c>
    </row>
    <row r="74" spans="1:6" x14ac:dyDescent="0.35">
      <c r="A74" s="49" t="s">
        <v>850</v>
      </c>
      <c r="B74" s="49" t="s">
        <v>1275</v>
      </c>
      <c r="C74" s="49" t="str">
        <f t="shared" si="1"/>
        <v>46023B-01_004M</v>
      </c>
      <c r="D74" s="51">
        <v>2.6059999999999999</v>
      </c>
      <c r="E74" s="51">
        <v>2.6506666666666665</v>
      </c>
      <c r="F74" s="52">
        <v>1.72</v>
      </c>
    </row>
    <row r="75" spans="1:6" x14ac:dyDescent="0.35">
      <c r="A75" s="49" t="s">
        <v>850</v>
      </c>
      <c r="B75" s="49" t="s">
        <v>1270</v>
      </c>
      <c r="C75" s="49" t="str">
        <f t="shared" si="1"/>
        <v>46023B-01_008</v>
      </c>
      <c r="D75" s="51">
        <v>2.6015999999999999</v>
      </c>
      <c r="E75" s="51">
        <v>2.6579999999999999</v>
      </c>
      <c r="F75" s="52">
        <v>2.16</v>
      </c>
    </row>
    <row r="76" spans="1:6" x14ac:dyDescent="0.35">
      <c r="A76" s="49" t="s">
        <v>850</v>
      </c>
      <c r="B76" s="49" t="s">
        <v>1281</v>
      </c>
      <c r="C76" s="49" t="str">
        <f t="shared" si="1"/>
        <v>46023B-01_009M</v>
      </c>
      <c r="D76" s="51">
        <v>2.5939999999999999</v>
      </c>
      <c r="E76" s="51">
        <v>2.6560000000000001</v>
      </c>
      <c r="F76" s="52">
        <v>2.3866666666666667</v>
      </c>
    </row>
    <row r="77" spans="1:6" x14ac:dyDescent="0.35">
      <c r="A77" s="49" t="s">
        <v>850</v>
      </c>
      <c r="B77" s="49" t="s">
        <v>1276</v>
      </c>
      <c r="C77" s="49" t="str">
        <f t="shared" si="1"/>
        <v>46023B-01_010</v>
      </c>
      <c r="D77" s="51">
        <v>2.7450000000000001</v>
      </c>
      <c r="E77" s="51">
        <v>2.7650000000000001</v>
      </c>
      <c r="F77" s="52">
        <v>0.74</v>
      </c>
    </row>
    <row r="78" spans="1:6" x14ac:dyDescent="0.35">
      <c r="A78" s="49" t="s">
        <v>850</v>
      </c>
      <c r="B78" s="49" t="s">
        <v>1284</v>
      </c>
      <c r="C78" s="49" t="str">
        <f t="shared" si="1"/>
        <v>46023B-01_010M</v>
      </c>
      <c r="D78" s="51">
        <v>2.7454999999999998</v>
      </c>
      <c r="E78" s="51">
        <v>2.7625000000000002</v>
      </c>
      <c r="F78" s="52">
        <v>0.62</v>
      </c>
    </row>
    <row r="79" spans="1:6" x14ac:dyDescent="0.35">
      <c r="A79" s="49" t="s">
        <v>850</v>
      </c>
      <c r="B79" s="49" t="s">
        <v>1272</v>
      </c>
      <c r="C79" s="49" t="str">
        <f t="shared" si="1"/>
        <v>46023B-01_057</v>
      </c>
      <c r="D79" s="51">
        <v>2.58975</v>
      </c>
      <c r="E79" s="51">
        <v>2.6427500000000004</v>
      </c>
      <c r="F79" s="52">
        <v>2.06</v>
      </c>
    </row>
    <row r="80" spans="1:6" x14ac:dyDescent="0.35">
      <c r="A80" s="49" t="s">
        <v>850</v>
      </c>
      <c r="B80" s="49" t="s">
        <v>1285</v>
      </c>
      <c r="C80" s="49" t="str">
        <f t="shared" si="1"/>
        <v>46023B-01_067</v>
      </c>
      <c r="D80" s="51">
        <v>2.5825</v>
      </c>
      <c r="E80" s="51">
        <v>2.6364999999999998</v>
      </c>
      <c r="F80" s="52">
        <v>2.09</v>
      </c>
    </row>
    <row r="81" spans="1:6" x14ac:dyDescent="0.35">
      <c r="A81" s="49" t="s">
        <v>850</v>
      </c>
      <c r="B81" s="49" t="s">
        <v>1286</v>
      </c>
      <c r="C81" s="49" t="str">
        <f t="shared" si="1"/>
        <v>46023B-01_089M</v>
      </c>
      <c r="D81" s="51">
        <v>2.6005000000000003</v>
      </c>
      <c r="E81" s="51">
        <v>2.6574999999999998</v>
      </c>
      <c r="F81" s="52">
        <v>2.2000000000000002</v>
      </c>
    </row>
    <row r="82" spans="1:6" x14ac:dyDescent="0.35">
      <c r="A82" s="49" t="s">
        <v>850</v>
      </c>
      <c r="B82" s="49" t="s">
        <v>1287</v>
      </c>
      <c r="C82" s="49" t="str">
        <f t="shared" si="1"/>
        <v>46023B-01_RAL</v>
      </c>
      <c r="D82" s="51">
        <v>2.714</v>
      </c>
      <c r="E82" s="51">
        <v>2.7473333333333336</v>
      </c>
      <c r="F82" s="52">
        <v>1.2266666666666666</v>
      </c>
    </row>
    <row r="83" spans="1:6" x14ac:dyDescent="0.35">
      <c r="A83" s="49" t="s">
        <v>850</v>
      </c>
      <c r="B83" s="49" t="s">
        <v>1274</v>
      </c>
      <c r="C83" s="49" t="str">
        <f t="shared" si="1"/>
        <v>46023B-01_SD2</v>
      </c>
      <c r="D83" s="51">
        <v>2.7170000000000001</v>
      </c>
      <c r="E83" s="51">
        <v>2.7469999999999999</v>
      </c>
      <c r="F83" s="52">
        <v>1.1100000000000001</v>
      </c>
    </row>
    <row r="84" spans="1:6" x14ac:dyDescent="0.35">
      <c r="A84" s="49" t="s">
        <v>850</v>
      </c>
      <c r="B84" s="49" t="s">
        <v>1273</v>
      </c>
      <c r="C84" s="49" t="str">
        <f t="shared" si="1"/>
        <v>46023B-01_SD5</v>
      </c>
      <c r="D84" s="51">
        <v>2.7080000000000002</v>
      </c>
      <c r="E84" s="51">
        <v>2.7450000000000001</v>
      </c>
      <c r="F84" s="52">
        <v>1.35</v>
      </c>
    </row>
    <row r="85" spans="1:6" x14ac:dyDescent="0.35">
      <c r="A85" s="49" t="s">
        <v>990</v>
      </c>
      <c r="B85" s="49" t="s">
        <v>1274</v>
      </c>
      <c r="C85" s="49" t="str">
        <f t="shared" si="1"/>
        <v>48003-01_SD2</v>
      </c>
      <c r="D85" s="51">
        <v>2.5830000000000002</v>
      </c>
      <c r="E85" s="51">
        <v>2.6120000000000001</v>
      </c>
      <c r="F85" s="52">
        <v>1.1200000000000001</v>
      </c>
    </row>
    <row r="86" spans="1:6" x14ac:dyDescent="0.35">
      <c r="A86" s="49" t="s">
        <v>590</v>
      </c>
      <c r="B86" s="49" t="s">
        <v>1270</v>
      </c>
      <c r="C86" s="49" t="str">
        <f t="shared" si="1"/>
        <v>43005-01_008</v>
      </c>
      <c r="D86" s="51">
        <v>2.5186666666666664</v>
      </c>
      <c r="E86" s="51">
        <v>2.5749999999999997</v>
      </c>
      <c r="F86" s="52">
        <v>2.2399999999999998</v>
      </c>
    </row>
    <row r="87" spans="1:6" x14ac:dyDescent="0.35">
      <c r="A87" s="49" t="s">
        <v>590</v>
      </c>
      <c r="B87" s="49" t="s">
        <v>1274</v>
      </c>
      <c r="C87" s="49" t="str">
        <f t="shared" si="1"/>
        <v>43005-01_SD2</v>
      </c>
      <c r="D87" s="51">
        <v>2.5947499999999999</v>
      </c>
      <c r="E87" s="51">
        <v>2.6234999999999999</v>
      </c>
      <c r="F87" s="52">
        <v>1.095</v>
      </c>
    </row>
    <row r="88" spans="1:6" x14ac:dyDescent="0.35">
      <c r="A88" s="49" t="s">
        <v>1068</v>
      </c>
      <c r="B88" s="49" t="s">
        <v>1270</v>
      </c>
      <c r="C88" s="49" t="str">
        <f t="shared" si="1"/>
        <v>49050-01_008</v>
      </c>
      <c r="D88" s="51">
        <v>2.4946000000000002</v>
      </c>
      <c r="E88" s="51">
        <v>2.5447999999999995</v>
      </c>
      <c r="F88" s="52">
        <v>2.016</v>
      </c>
    </row>
    <row r="89" spans="1:6" x14ac:dyDescent="0.35">
      <c r="A89" s="49" t="s">
        <v>1068</v>
      </c>
      <c r="B89" s="49" t="s">
        <v>1272</v>
      </c>
      <c r="C89" s="49" t="str">
        <f t="shared" si="1"/>
        <v>49050-01_057</v>
      </c>
      <c r="D89" s="51">
        <v>2.4992000000000001</v>
      </c>
      <c r="E89" s="51">
        <v>2.5480000000000005</v>
      </c>
      <c r="F89" s="52">
        <v>1.954</v>
      </c>
    </row>
    <row r="90" spans="1:6" x14ac:dyDescent="0.35">
      <c r="A90" s="49" t="s">
        <v>1068</v>
      </c>
      <c r="B90" s="49" t="s">
        <v>1274</v>
      </c>
      <c r="C90" s="49" t="str">
        <f t="shared" si="1"/>
        <v>49050-01_SD2</v>
      </c>
      <c r="D90" s="51">
        <v>2.5892500000000003</v>
      </c>
      <c r="E90" s="51">
        <v>2.61775</v>
      </c>
      <c r="F90" s="52">
        <v>1.0899999999999999</v>
      </c>
    </row>
    <row r="91" spans="1:6" x14ac:dyDescent="0.35">
      <c r="A91" s="49" t="s">
        <v>1068</v>
      </c>
      <c r="B91" s="49" t="s">
        <v>1273</v>
      </c>
      <c r="C91" s="49" t="str">
        <f t="shared" si="1"/>
        <v>49050-01_SD5</v>
      </c>
      <c r="D91" s="51">
        <v>2.589</v>
      </c>
      <c r="E91" s="51">
        <v>2.6179999999999999</v>
      </c>
      <c r="F91" s="52">
        <v>1.1000000000000001</v>
      </c>
    </row>
    <row r="92" spans="1:6" x14ac:dyDescent="0.35">
      <c r="A92" s="49" t="s">
        <v>1189</v>
      </c>
      <c r="B92" s="49" t="s">
        <v>1270</v>
      </c>
      <c r="C92" s="49" t="str">
        <f t="shared" si="1"/>
        <v>51007-01_008</v>
      </c>
      <c r="D92" s="51">
        <v>2.6070000000000002</v>
      </c>
      <c r="E92" s="51">
        <v>2.6160000000000001</v>
      </c>
      <c r="F92" s="52">
        <v>0.37</v>
      </c>
    </row>
    <row r="93" spans="1:6" x14ac:dyDescent="0.35">
      <c r="A93" s="49" t="s">
        <v>861</v>
      </c>
      <c r="B93" s="49" t="s">
        <v>1270</v>
      </c>
      <c r="C93" s="49" t="str">
        <f t="shared" si="1"/>
        <v>46031-01_008</v>
      </c>
      <c r="D93" s="51">
        <v>2.6139999999999999</v>
      </c>
      <c r="E93" s="51">
        <v>2.6637499999999998</v>
      </c>
      <c r="F93" s="52">
        <v>1.91</v>
      </c>
    </row>
    <row r="94" spans="1:6" x14ac:dyDescent="0.35">
      <c r="A94" s="49" t="s">
        <v>861</v>
      </c>
      <c r="B94" s="49" t="s">
        <v>1271</v>
      </c>
      <c r="C94" s="49" t="str">
        <f t="shared" si="1"/>
        <v>46031-01_009</v>
      </c>
      <c r="D94" s="51">
        <v>2.6060000000000003</v>
      </c>
      <c r="E94" s="51">
        <v>2.6666666666666665</v>
      </c>
      <c r="F94" s="52">
        <v>2.33</v>
      </c>
    </row>
    <row r="95" spans="1:6" x14ac:dyDescent="0.35">
      <c r="A95" s="49" t="s">
        <v>861</v>
      </c>
      <c r="B95" s="49" t="s">
        <v>1272</v>
      </c>
      <c r="C95" s="49" t="str">
        <f t="shared" si="1"/>
        <v>46031-01_057</v>
      </c>
      <c r="D95" s="51">
        <v>2.59775</v>
      </c>
      <c r="E95" s="51">
        <v>2.645</v>
      </c>
      <c r="F95" s="52">
        <v>1.8275000000000001</v>
      </c>
    </row>
    <row r="96" spans="1:6" x14ac:dyDescent="0.35">
      <c r="A96" s="49" t="s">
        <v>861</v>
      </c>
      <c r="B96" s="49" t="s">
        <v>1273</v>
      </c>
      <c r="C96" s="49" t="str">
        <f t="shared" si="1"/>
        <v>46031-01_SD5</v>
      </c>
      <c r="D96" s="51">
        <v>2.7534999999999998</v>
      </c>
      <c r="E96" s="51">
        <v>2.7744999999999997</v>
      </c>
      <c r="F96" s="52">
        <v>0.76</v>
      </c>
    </row>
    <row r="97" spans="1:6" x14ac:dyDescent="0.35">
      <c r="A97" s="49" t="s">
        <v>513</v>
      </c>
      <c r="B97" s="49" t="s">
        <v>1270</v>
      </c>
      <c r="C97" s="49" t="str">
        <f t="shared" si="1"/>
        <v>41058-01_008</v>
      </c>
      <c r="D97" s="51">
        <v>2.6216666666666666</v>
      </c>
      <c r="E97" s="51">
        <v>2.6763333333333335</v>
      </c>
      <c r="F97" s="52">
        <v>2.08</v>
      </c>
    </row>
    <row r="98" spans="1:6" x14ac:dyDescent="0.35">
      <c r="A98" s="49" t="s">
        <v>513</v>
      </c>
      <c r="B98" s="49" t="s">
        <v>1271</v>
      </c>
      <c r="C98" s="49" t="str">
        <f t="shared" si="1"/>
        <v>41058-01_009</v>
      </c>
      <c r="D98" s="51">
        <v>2.6066666666666669</v>
      </c>
      <c r="E98" s="51">
        <v>2.6743333333333332</v>
      </c>
      <c r="F98" s="52">
        <v>2.5933333333333333</v>
      </c>
    </row>
    <row r="99" spans="1:6" x14ac:dyDescent="0.35">
      <c r="A99" s="49" t="s">
        <v>513</v>
      </c>
      <c r="B99" s="49" t="s">
        <v>1276</v>
      </c>
      <c r="C99" s="49" t="str">
        <f t="shared" si="1"/>
        <v>41058-01_010</v>
      </c>
      <c r="D99" s="51">
        <v>2.6953333333333336</v>
      </c>
      <c r="E99" s="51">
        <v>2.7356666666666669</v>
      </c>
      <c r="F99" s="52">
        <v>1.5</v>
      </c>
    </row>
    <row r="100" spans="1:6" x14ac:dyDescent="0.35">
      <c r="A100" s="49" t="s">
        <v>513</v>
      </c>
      <c r="B100" s="49" t="s">
        <v>1272</v>
      </c>
      <c r="C100" s="49" t="str">
        <f t="shared" si="1"/>
        <v>41058-01_057</v>
      </c>
      <c r="D100" s="51">
        <v>2.6253333333333333</v>
      </c>
      <c r="E100" s="51">
        <v>2.669</v>
      </c>
      <c r="F100" s="52">
        <v>1.67</v>
      </c>
    </row>
    <row r="101" spans="1:6" x14ac:dyDescent="0.35">
      <c r="A101" s="49" t="s">
        <v>513</v>
      </c>
      <c r="B101" s="49" t="s">
        <v>1288</v>
      </c>
      <c r="C101" s="49" t="str">
        <f t="shared" si="1"/>
        <v>41058-01_603</v>
      </c>
      <c r="D101" s="51">
        <v>2.69</v>
      </c>
      <c r="E101" s="51">
        <v>2.7320000000000002</v>
      </c>
      <c r="F101" s="52">
        <v>1.55</v>
      </c>
    </row>
    <row r="102" spans="1:6" x14ac:dyDescent="0.35">
      <c r="A102" s="49" t="s">
        <v>513</v>
      </c>
      <c r="B102" s="49" t="s">
        <v>1273</v>
      </c>
      <c r="C102" s="49" t="str">
        <f t="shared" si="1"/>
        <v>41058-01_SD5</v>
      </c>
      <c r="D102" s="51">
        <v>2.6982500000000003</v>
      </c>
      <c r="E102" s="51">
        <v>2.7309999999999999</v>
      </c>
      <c r="F102" s="52">
        <v>1.21</v>
      </c>
    </row>
    <row r="103" spans="1:6" x14ac:dyDescent="0.35">
      <c r="A103" s="49" t="s">
        <v>1201</v>
      </c>
      <c r="B103" s="49" t="s">
        <v>1289</v>
      </c>
      <c r="C103" s="49" t="str">
        <f t="shared" si="1"/>
        <v>51015-01_008M</v>
      </c>
      <c r="D103" s="51">
        <v>2.7765</v>
      </c>
      <c r="E103" s="51">
        <v>2.7922500000000001</v>
      </c>
      <c r="F103" s="52">
        <v>0.57499999999999996</v>
      </c>
    </row>
    <row r="104" spans="1:6" x14ac:dyDescent="0.35">
      <c r="A104" s="49" t="s">
        <v>1201</v>
      </c>
      <c r="B104" s="49" t="s">
        <v>1281</v>
      </c>
      <c r="C104" s="49" t="str">
        <f t="shared" si="1"/>
        <v>51015-01_009M</v>
      </c>
      <c r="D104" s="51">
        <v>2.7575000000000003</v>
      </c>
      <c r="E104" s="51">
        <v>2.7807499999999998</v>
      </c>
      <c r="F104" s="52">
        <v>0.84</v>
      </c>
    </row>
    <row r="105" spans="1:6" x14ac:dyDescent="0.35">
      <c r="A105" s="49" t="s">
        <v>1201</v>
      </c>
      <c r="B105" s="49" t="s">
        <v>1272</v>
      </c>
      <c r="C105" s="49" t="str">
        <f t="shared" si="1"/>
        <v>51015-01_057</v>
      </c>
      <c r="D105" s="51">
        <v>2.7791999999999999</v>
      </c>
      <c r="E105" s="51">
        <v>2.7915999999999999</v>
      </c>
      <c r="F105" s="52">
        <v>0.45</v>
      </c>
    </row>
    <row r="106" spans="1:6" x14ac:dyDescent="0.35">
      <c r="A106" s="49" t="s">
        <v>1201</v>
      </c>
      <c r="B106" s="49" t="s">
        <v>1285</v>
      </c>
      <c r="C106" s="49" t="str">
        <f t="shared" si="1"/>
        <v>51015-01_067</v>
      </c>
      <c r="D106" s="51">
        <v>2.7685</v>
      </c>
      <c r="E106" s="51">
        <v>2.7845</v>
      </c>
      <c r="F106" s="52">
        <v>0.59000000000000008</v>
      </c>
    </row>
    <row r="107" spans="1:6" x14ac:dyDescent="0.35">
      <c r="A107" s="49" t="s">
        <v>1201</v>
      </c>
      <c r="B107" s="49" t="s">
        <v>1273</v>
      </c>
      <c r="C107" s="49" t="str">
        <f t="shared" si="1"/>
        <v>51015-01_SD5</v>
      </c>
      <c r="D107" s="51">
        <v>2.7923333333333331</v>
      </c>
      <c r="E107" s="51">
        <v>2.8076666666666665</v>
      </c>
      <c r="F107" s="52">
        <v>0.55666666666666664</v>
      </c>
    </row>
    <row r="108" spans="1:6" x14ac:dyDescent="0.35">
      <c r="A108" s="49" t="s">
        <v>1187</v>
      </c>
      <c r="B108" s="49" t="s">
        <v>1279</v>
      </c>
      <c r="C108" s="49" t="str">
        <f t="shared" si="1"/>
        <v>51006-01_004</v>
      </c>
      <c r="D108" s="51">
        <v>2.6589999999999998</v>
      </c>
      <c r="E108" s="51">
        <v>2.673</v>
      </c>
      <c r="F108" s="52">
        <v>0.53</v>
      </c>
    </row>
    <row r="109" spans="1:6" x14ac:dyDescent="0.35">
      <c r="A109" s="49" t="s">
        <v>1187</v>
      </c>
      <c r="B109" s="49" t="s">
        <v>1289</v>
      </c>
      <c r="C109" s="49" t="str">
        <f t="shared" si="1"/>
        <v>51006-01_008M</v>
      </c>
      <c r="D109" s="51">
        <v>2.6469999999999998</v>
      </c>
      <c r="E109" s="51">
        <v>2.6680000000000001</v>
      </c>
      <c r="F109" s="52">
        <v>0.78</v>
      </c>
    </row>
    <row r="110" spans="1:6" x14ac:dyDescent="0.35">
      <c r="A110" s="49" t="s">
        <v>1187</v>
      </c>
      <c r="B110" s="49" t="s">
        <v>1270</v>
      </c>
      <c r="C110" s="49" t="str">
        <f t="shared" si="1"/>
        <v>51006-01_008</v>
      </c>
      <c r="D110" s="51">
        <v>2.6475</v>
      </c>
      <c r="E110" s="51">
        <v>2.6680000000000001</v>
      </c>
      <c r="F110" s="52">
        <v>0.77749999999999997</v>
      </c>
    </row>
    <row r="111" spans="1:6" x14ac:dyDescent="0.35">
      <c r="A111" s="49" t="s">
        <v>1187</v>
      </c>
      <c r="B111" s="49" t="s">
        <v>1281</v>
      </c>
      <c r="C111" s="49" t="str">
        <f t="shared" si="1"/>
        <v>51006-01_009M</v>
      </c>
      <c r="D111" s="51">
        <v>2.63625</v>
      </c>
      <c r="E111" s="51">
        <v>2.6607499999999997</v>
      </c>
      <c r="F111" s="52">
        <v>0.91250000000000009</v>
      </c>
    </row>
    <row r="112" spans="1:6" x14ac:dyDescent="0.35">
      <c r="A112" s="49" t="s">
        <v>1187</v>
      </c>
      <c r="B112" s="49" t="s">
        <v>1284</v>
      </c>
      <c r="C112" s="49" t="str">
        <f t="shared" si="1"/>
        <v>51006-01_010M</v>
      </c>
      <c r="D112" s="51">
        <v>2.67</v>
      </c>
      <c r="E112" s="51">
        <v>2.6850000000000001</v>
      </c>
      <c r="F112" s="52">
        <v>0.56999999999999995</v>
      </c>
    </row>
    <row r="113" spans="1:6" x14ac:dyDescent="0.35">
      <c r="A113" s="49" t="s">
        <v>1187</v>
      </c>
      <c r="B113" s="49" t="s">
        <v>1272</v>
      </c>
      <c r="C113" s="49" t="str">
        <f t="shared" si="1"/>
        <v>51006-01_057</v>
      </c>
      <c r="D113" s="51">
        <v>2.6539999999999999</v>
      </c>
      <c r="E113" s="51">
        <v>2.67</v>
      </c>
      <c r="F113" s="52">
        <v>0.6166666666666667</v>
      </c>
    </row>
    <row r="114" spans="1:6" x14ac:dyDescent="0.35">
      <c r="A114" s="49" t="s">
        <v>1187</v>
      </c>
      <c r="B114" s="49" t="s">
        <v>1273</v>
      </c>
      <c r="C114" s="49" t="str">
        <f t="shared" si="1"/>
        <v>51006-01_SD5</v>
      </c>
      <c r="D114" s="51">
        <v>2.6685000000000003</v>
      </c>
      <c r="E114" s="51">
        <v>2.68425</v>
      </c>
      <c r="F114" s="52">
        <v>0.58750000000000002</v>
      </c>
    </row>
    <row r="115" spans="1:6" x14ac:dyDescent="0.35">
      <c r="A115" s="49" t="s">
        <v>916</v>
      </c>
      <c r="B115" s="49" t="s">
        <v>1279</v>
      </c>
      <c r="C115" s="49" t="str">
        <f t="shared" si="1"/>
        <v>47038-01_004</v>
      </c>
      <c r="D115" s="51">
        <v>2.6589999999999998</v>
      </c>
      <c r="E115" s="51">
        <v>2.6819999999999999</v>
      </c>
      <c r="F115" s="52">
        <v>0.86</v>
      </c>
    </row>
    <row r="116" spans="1:6" x14ac:dyDescent="0.35">
      <c r="A116" s="49" t="s">
        <v>916</v>
      </c>
      <c r="B116" s="49" t="s">
        <v>1270</v>
      </c>
      <c r="C116" s="49" t="str">
        <f t="shared" si="1"/>
        <v>47038-01_008</v>
      </c>
      <c r="D116" s="51">
        <v>2.6426666666666665</v>
      </c>
      <c r="E116" s="51">
        <v>2.6720000000000002</v>
      </c>
      <c r="F116" s="52">
        <v>1.1200000000000001</v>
      </c>
    </row>
    <row r="117" spans="1:6" x14ac:dyDescent="0.35">
      <c r="A117" s="49" t="s">
        <v>916</v>
      </c>
      <c r="B117" s="49" t="s">
        <v>1272</v>
      </c>
      <c r="C117" s="49" t="str">
        <f t="shared" si="1"/>
        <v>47038-01_057</v>
      </c>
      <c r="D117" s="51">
        <v>2.65</v>
      </c>
      <c r="E117" s="51">
        <v>2.677</v>
      </c>
      <c r="F117" s="52">
        <v>0.99</v>
      </c>
    </row>
    <row r="118" spans="1:6" x14ac:dyDescent="0.35">
      <c r="A118" s="49" t="s">
        <v>916</v>
      </c>
      <c r="B118" s="49" t="s">
        <v>1290</v>
      </c>
      <c r="C118" s="49" t="str">
        <f t="shared" si="1"/>
        <v>47038-01_SD5M</v>
      </c>
      <c r="D118" s="51">
        <v>2.6432500000000001</v>
      </c>
      <c r="E118" s="51">
        <v>2.6680000000000001</v>
      </c>
      <c r="F118" s="52">
        <v>0.94</v>
      </c>
    </row>
    <row r="119" spans="1:6" x14ac:dyDescent="0.35">
      <c r="A119" s="49" t="s">
        <v>1203</v>
      </c>
      <c r="B119" s="49" t="s">
        <v>1270</v>
      </c>
      <c r="C119" s="49" t="str">
        <f t="shared" si="1"/>
        <v>51016-01_008</v>
      </c>
      <c r="D119" s="51">
        <v>2.5314999999999999</v>
      </c>
      <c r="E119" s="51">
        <v>2.5715000000000003</v>
      </c>
      <c r="F119" s="52">
        <v>1.5674999999999999</v>
      </c>
    </row>
    <row r="120" spans="1:6" x14ac:dyDescent="0.35">
      <c r="A120" s="49" t="s">
        <v>1203</v>
      </c>
      <c r="B120" s="49" t="s">
        <v>1276</v>
      </c>
      <c r="C120" s="49" t="str">
        <f t="shared" si="1"/>
        <v>51016-01_010</v>
      </c>
      <c r="D120" s="51">
        <v>2.5550000000000002</v>
      </c>
      <c r="E120" s="51">
        <v>2.5996666666666668</v>
      </c>
      <c r="F120" s="52">
        <v>1.7533333333333332</v>
      </c>
    </row>
    <row r="121" spans="1:6" x14ac:dyDescent="0.35">
      <c r="A121" s="49" t="s">
        <v>1203</v>
      </c>
      <c r="B121" s="49" t="s">
        <v>1272</v>
      </c>
      <c r="C121" s="49" t="str">
        <f t="shared" si="1"/>
        <v>51016-01_057</v>
      </c>
      <c r="D121" s="51">
        <v>2.5303333333333335</v>
      </c>
      <c r="E121" s="51">
        <v>2.5674999999999999</v>
      </c>
      <c r="F121" s="52">
        <v>1.4633333333333332</v>
      </c>
    </row>
    <row r="122" spans="1:6" x14ac:dyDescent="0.35">
      <c r="A122" s="49" t="s">
        <v>755</v>
      </c>
      <c r="B122" s="49" t="s">
        <v>1270</v>
      </c>
      <c r="C122" s="49" t="str">
        <f t="shared" si="1"/>
        <v>44038-01_008</v>
      </c>
      <c r="D122" s="51">
        <v>2.4506000000000001</v>
      </c>
      <c r="E122" s="51">
        <v>2.5132000000000003</v>
      </c>
      <c r="F122" s="52">
        <v>2.5720000000000001</v>
      </c>
    </row>
    <row r="123" spans="1:6" x14ac:dyDescent="0.35">
      <c r="A123" s="49" t="s">
        <v>755</v>
      </c>
      <c r="B123" s="49" t="s">
        <v>1272</v>
      </c>
      <c r="C123" s="49" t="str">
        <f t="shared" si="1"/>
        <v>44038-01_057</v>
      </c>
      <c r="D123" s="51">
        <v>2.4365999999999999</v>
      </c>
      <c r="E123" s="51">
        <v>2.4998000000000005</v>
      </c>
      <c r="F123" s="52">
        <v>2.5979999999999999</v>
      </c>
    </row>
    <row r="124" spans="1:6" x14ac:dyDescent="0.35">
      <c r="A124" s="49" t="s">
        <v>755</v>
      </c>
      <c r="B124" s="49" t="s">
        <v>1274</v>
      </c>
      <c r="C124" s="49" t="str">
        <f t="shared" si="1"/>
        <v>44038-01_SD2</v>
      </c>
      <c r="D124" s="51">
        <v>2.5940000000000003</v>
      </c>
      <c r="E124" s="51">
        <v>2.6194999999999999</v>
      </c>
      <c r="F124" s="52">
        <v>0.97</v>
      </c>
    </row>
    <row r="125" spans="1:6" x14ac:dyDescent="0.35">
      <c r="A125" s="49" t="s">
        <v>519</v>
      </c>
      <c r="B125" s="49" t="s">
        <v>1274</v>
      </c>
      <c r="C125" s="49" t="str">
        <f t="shared" si="1"/>
        <v>41061-01_SD2</v>
      </c>
      <c r="D125" s="51">
        <v>2.63</v>
      </c>
      <c r="E125" s="51">
        <v>2.6494999999999997</v>
      </c>
      <c r="F125" s="52">
        <v>0.745</v>
      </c>
    </row>
    <row r="126" spans="1:6" x14ac:dyDescent="0.35">
      <c r="A126" s="49" t="s">
        <v>521</v>
      </c>
      <c r="B126" s="49" t="s">
        <v>1274</v>
      </c>
      <c r="C126" s="49" t="str">
        <f t="shared" si="1"/>
        <v>41062-01_SD2</v>
      </c>
      <c r="D126" s="51">
        <v>2.6329999999999996</v>
      </c>
      <c r="E126" s="51">
        <v>2.6566666666666667</v>
      </c>
      <c r="F126" s="52">
        <v>0.8833333333333333</v>
      </c>
    </row>
    <row r="127" spans="1:6" x14ac:dyDescent="0.35">
      <c r="A127" s="49" t="s">
        <v>602</v>
      </c>
      <c r="B127" s="49" t="s">
        <v>1274</v>
      </c>
      <c r="C127" s="49" t="str">
        <f t="shared" si="1"/>
        <v>43012-01_SD2</v>
      </c>
      <c r="D127" s="51">
        <v>2.5979999999999999</v>
      </c>
      <c r="E127" s="51">
        <v>2.6160000000000001</v>
      </c>
      <c r="F127" s="52">
        <v>0.71</v>
      </c>
    </row>
    <row r="128" spans="1:6" x14ac:dyDescent="0.35">
      <c r="A128" s="49" t="s">
        <v>602</v>
      </c>
      <c r="B128" s="49" t="s">
        <v>1273</v>
      </c>
      <c r="C128" s="49" t="str">
        <f t="shared" si="1"/>
        <v>43012-01_SD5</v>
      </c>
      <c r="D128" s="51">
        <v>2.6059999999999999</v>
      </c>
      <c r="E128" s="51">
        <v>2.63</v>
      </c>
      <c r="F128" s="52">
        <v>0.92</v>
      </c>
    </row>
    <row r="129" spans="1:6" x14ac:dyDescent="0.35">
      <c r="A129" s="49" t="s">
        <v>757</v>
      </c>
      <c r="B129" s="49" t="s">
        <v>1274</v>
      </c>
      <c r="C129" s="49" t="str">
        <f t="shared" si="1"/>
        <v>44039-01_SD2</v>
      </c>
      <c r="D129" s="51">
        <v>2.5983333333333332</v>
      </c>
      <c r="E129" s="51">
        <v>2.6206666666666667</v>
      </c>
      <c r="F129" s="52">
        <v>0.85</v>
      </c>
    </row>
    <row r="130" spans="1:6" x14ac:dyDescent="0.35">
      <c r="A130" s="49" t="s">
        <v>678</v>
      </c>
      <c r="B130" s="49" t="s">
        <v>1270</v>
      </c>
      <c r="C130" s="49" t="str">
        <f t="shared" si="1"/>
        <v>43097-01_008</v>
      </c>
      <c r="D130" s="51">
        <v>2.5336666666666665</v>
      </c>
      <c r="E130" s="51">
        <v>2.5826666666666664</v>
      </c>
      <c r="F130" s="52">
        <v>1.9466666666666665</v>
      </c>
    </row>
    <row r="131" spans="1:6" x14ac:dyDescent="0.35">
      <c r="A131" s="49" t="s">
        <v>678</v>
      </c>
      <c r="B131" s="49" t="s">
        <v>1274</v>
      </c>
      <c r="C131" s="49" t="str">
        <f t="shared" ref="C131:C194" si="2">A131&amp;"_"&amp;B131</f>
        <v>43097-01_SD2</v>
      </c>
      <c r="D131" s="51">
        <v>2.5960000000000001</v>
      </c>
      <c r="E131" s="51">
        <v>2.6220000000000003</v>
      </c>
      <c r="F131" s="52">
        <v>0.998</v>
      </c>
    </row>
    <row r="132" spans="1:6" x14ac:dyDescent="0.35">
      <c r="A132" s="49" t="s">
        <v>678</v>
      </c>
      <c r="B132" s="49" t="s">
        <v>1273</v>
      </c>
      <c r="C132" s="49" t="str">
        <f t="shared" si="2"/>
        <v>43097-01_SD5</v>
      </c>
      <c r="D132" s="51">
        <v>2.6030000000000002</v>
      </c>
      <c r="E132" s="51">
        <v>2.6269999999999998</v>
      </c>
      <c r="F132" s="52">
        <v>0.92</v>
      </c>
    </row>
    <row r="133" spans="1:6" x14ac:dyDescent="0.35">
      <c r="A133" s="49" t="s">
        <v>676</v>
      </c>
      <c r="B133" s="49" t="s">
        <v>1270</v>
      </c>
      <c r="C133" s="49" t="str">
        <f t="shared" si="2"/>
        <v>43096-01_008</v>
      </c>
      <c r="D133" s="51">
        <v>2.4239999999999999</v>
      </c>
      <c r="E133" s="51">
        <v>2.4980000000000002</v>
      </c>
      <c r="F133" s="52">
        <v>3.07</v>
      </c>
    </row>
    <row r="134" spans="1:6" x14ac:dyDescent="0.35">
      <c r="A134" s="49" t="s">
        <v>676</v>
      </c>
      <c r="B134" s="49" t="s">
        <v>1274</v>
      </c>
      <c r="C134" s="49" t="str">
        <f t="shared" si="2"/>
        <v>43096-01_SD2</v>
      </c>
      <c r="D134" s="51">
        <v>2.5529999999999999</v>
      </c>
      <c r="E134" s="51">
        <v>2.59</v>
      </c>
      <c r="F134" s="52">
        <v>1.4450000000000001</v>
      </c>
    </row>
    <row r="135" spans="1:6" x14ac:dyDescent="0.35">
      <c r="A135" s="49" t="s">
        <v>1193</v>
      </c>
      <c r="B135" s="49" t="s">
        <v>1270</v>
      </c>
      <c r="C135" s="49" t="str">
        <f t="shared" si="2"/>
        <v>51011-01_008</v>
      </c>
      <c r="D135" s="51">
        <v>2.7605000000000004</v>
      </c>
      <c r="E135" s="51">
        <v>2.78125</v>
      </c>
      <c r="F135" s="52">
        <v>0.755</v>
      </c>
    </row>
    <row r="136" spans="1:6" x14ac:dyDescent="0.35">
      <c r="A136" s="49" t="s">
        <v>1193</v>
      </c>
      <c r="B136" s="49" t="s">
        <v>1271</v>
      </c>
      <c r="C136" s="49" t="str">
        <f t="shared" si="2"/>
        <v>51011-01_009</v>
      </c>
      <c r="D136" s="51">
        <v>2.7703333333333333</v>
      </c>
      <c r="E136" s="51">
        <v>2.7896666666666667</v>
      </c>
      <c r="F136" s="52">
        <v>0.68</v>
      </c>
    </row>
    <row r="137" spans="1:6" x14ac:dyDescent="0.35">
      <c r="A137" s="49" t="s">
        <v>1193</v>
      </c>
      <c r="B137" s="49" t="s">
        <v>1276</v>
      </c>
      <c r="C137" s="49" t="str">
        <f t="shared" si="2"/>
        <v>51011-01_010</v>
      </c>
      <c r="D137" s="51">
        <v>2.8049999999999997</v>
      </c>
      <c r="E137" s="51">
        <v>2.8160000000000003</v>
      </c>
      <c r="F137" s="52">
        <v>0.39333333333333331</v>
      </c>
    </row>
    <row r="138" spans="1:6" x14ac:dyDescent="0.35">
      <c r="A138" s="49" t="s">
        <v>1193</v>
      </c>
      <c r="B138" s="49" t="s">
        <v>1272</v>
      </c>
      <c r="C138" s="49" t="str">
        <f t="shared" si="2"/>
        <v>51011-01_057</v>
      </c>
      <c r="D138" s="51">
        <v>2.802</v>
      </c>
      <c r="E138" s="51">
        <v>2.8112499999999998</v>
      </c>
      <c r="F138" s="52">
        <v>0.33250000000000002</v>
      </c>
    </row>
    <row r="139" spans="1:6" x14ac:dyDescent="0.35">
      <c r="A139" s="49" t="s">
        <v>869</v>
      </c>
      <c r="B139" s="49" t="s">
        <v>1279</v>
      </c>
      <c r="C139" s="49" t="str">
        <f t="shared" si="2"/>
        <v>46038-01_004</v>
      </c>
      <c r="D139" s="51">
        <v>2.6859999999999999</v>
      </c>
      <c r="E139" s="51">
        <v>2.7175000000000002</v>
      </c>
      <c r="F139" s="52">
        <v>1.19</v>
      </c>
    </row>
    <row r="140" spans="1:6" x14ac:dyDescent="0.35">
      <c r="A140" s="49" t="s">
        <v>869</v>
      </c>
      <c r="B140" s="49" t="s">
        <v>1270</v>
      </c>
      <c r="C140" s="49" t="str">
        <f t="shared" si="2"/>
        <v>46038-01_008</v>
      </c>
      <c r="D140" s="51">
        <v>2.6829999999999998</v>
      </c>
      <c r="E140" s="51">
        <v>2.7225000000000001</v>
      </c>
      <c r="F140" s="52">
        <v>1.4625000000000001</v>
      </c>
    </row>
    <row r="141" spans="1:6" x14ac:dyDescent="0.35">
      <c r="A141" s="49" t="s">
        <v>869</v>
      </c>
      <c r="B141" s="49" t="s">
        <v>1276</v>
      </c>
      <c r="C141" s="49" t="str">
        <f t="shared" si="2"/>
        <v>46038-01_010</v>
      </c>
      <c r="D141" s="51">
        <v>2.6920000000000002</v>
      </c>
      <c r="E141" s="51">
        <v>2.7344999999999997</v>
      </c>
      <c r="F141" s="52">
        <v>1.575</v>
      </c>
    </row>
    <row r="142" spans="1:6" x14ac:dyDescent="0.35">
      <c r="A142" s="49" t="s">
        <v>869</v>
      </c>
      <c r="B142" s="49" t="s">
        <v>1272</v>
      </c>
      <c r="C142" s="49" t="str">
        <f t="shared" si="2"/>
        <v>46038-01_057</v>
      </c>
      <c r="D142" s="51">
        <v>2.6687500000000002</v>
      </c>
      <c r="E142" s="51">
        <v>2.7090000000000001</v>
      </c>
      <c r="F142" s="52">
        <v>1.5125</v>
      </c>
    </row>
    <row r="143" spans="1:6" x14ac:dyDescent="0.35">
      <c r="A143" s="49" t="s">
        <v>869</v>
      </c>
      <c r="B143" s="49" t="s">
        <v>1291</v>
      </c>
      <c r="C143" s="49" t="str">
        <f t="shared" si="2"/>
        <v>46038-01_467M</v>
      </c>
      <c r="D143" s="51">
        <v>2.6905000000000001</v>
      </c>
      <c r="E143" s="51">
        <v>2.7225000000000001</v>
      </c>
      <c r="F143" s="52">
        <v>1.175</v>
      </c>
    </row>
    <row r="144" spans="1:6" x14ac:dyDescent="0.35">
      <c r="A144" s="49" t="s">
        <v>869</v>
      </c>
      <c r="B144" s="49" t="s">
        <v>1288</v>
      </c>
      <c r="C144" s="49" t="str">
        <f t="shared" si="2"/>
        <v>46038-01_603</v>
      </c>
      <c r="D144" s="51">
        <v>2.7069999999999999</v>
      </c>
      <c r="E144" s="51">
        <v>2.7469999999999999</v>
      </c>
      <c r="F144" s="52">
        <v>1.49</v>
      </c>
    </row>
    <row r="145" spans="1:6" x14ac:dyDescent="0.35">
      <c r="A145" s="49" t="s">
        <v>869</v>
      </c>
      <c r="B145" s="54" t="s">
        <v>1292</v>
      </c>
      <c r="C145" s="49" t="str">
        <f t="shared" si="2"/>
        <v>46038-01_67M</v>
      </c>
      <c r="D145" s="51">
        <v>2.6859999999999999</v>
      </c>
      <c r="E145" s="51">
        <v>2.72</v>
      </c>
      <c r="F145" s="52">
        <v>1.28</v>
      </c>
    </row>
    <row r="146" spans="1:6" x14ac:dyDescent="0.35">
      <c r="A146" s="49" t="s">
        <v>901</v>
      </c>
      <c r="B146" s="49" t="s">
        <v>1270</v>
      </c>
      <c r="C146" s="49" t="str">
        <f t="shared" si="2"/>
        <v>47030-01_008</v>
      </c>
      <c r="D146" s="51">
        <v>2.6211999999999995</v>
      </c>
      <c r="E146" s="51">
        <v>2.665</v>
      </c>
      <c r="F146" s="52">
        <v>1.67</v>
      </c>
    </row>
    <row r="147" spans="1:6" x14ac:dyDescent="0.35">
      <c r="A147" s="49" t="s">
        <v>901</v>
      </c>
      <c r="B147" s="49" t="s">
        <v>1271</v>
      </c>
      <c r="C147" s="49" t="str">
        <f t="shared" si="2"/>
        <v>47030-01_009</v>
      </c>
      <c r="D147" s="51">
        <v>2.5880000000000001</v>
      </c>
      <c r="E147" s="51">
        <v>2.6443333333333334</v>
      </c>
      <c r="F147" s="52">
        <v>2.1633333333333331</v>
      </c>
    </row>
    <row r="148" spans="1:6" x14ac:dyDescent="0.35">
      <c r="A148" s="49" t="s">
        <v>901</v>
      </c>
      <c r="B148" s="49" t="s">
        <v>1272</v>
      </c>
      <c r="C148" s="49" t="str">
        <f t="shared" si="2"/>
        <v>47030-01_057</v>
      </c>
      <c r="D148" s="51">
        <v>2.6353999999999997</v>
      </c>
      <c r="E148" s="51">
        <v>2.6738</v>
      </c>
      <c r="F148" s="52">
        <v>1.466</v>
      </c>
    </row>
    <row r="149" spans="1:6" x14ac:dyDescent="0.35">
      <c r="A149" s="49" t="s">
        <v>901</v>
      </c>
      <c r="B149" s="49" t="s">
        <v>1274</v>
      </c>
      <c r="C149" s="49" t="str">
        <f t="shared" si="2"/>
        <v>47030-01_SD2</v>
      </c>
      <c r="D149" s="51">
        <v>2.6359999999999997</v>
      </c>
      <c r="E149" s="51">
        <v>2.6646666666666667</v>
      </c>
      <c r="F149" s="52">
        <v>1.0933333333333335</v>
      </c>
    </row>
    <row r="150" spans="1:6" x14ac:dyDescent="0.35">
      <c r="A150" s="49" t="s">
        <v>604</v>
      </c>
      <c r="B150" s="49" t="s">
        <v>1279</v>
      </c>
      <c r="C150" s="49" t="str">
        <f t="shared" si="2"/>
        <v>43014-01_004</v>
      </c>
      <c r="D150" s="51">
        <v>2.6859999999999999</v>
      </c>
      <c r="E150" s="51">
        <v>2.6976666666666667</v>
      </c>
      <c r="F150" s="52">
        <v>0.42666666666666669</v>
      </c>
    </row>
    <row r="151" spans="1:6" x14ac:dyDescent="0.35">
      <c r="A151" s="49" t="s">
        <v>835</v>
      </c>
      <c r="B151" s="49" t="s">
        <v>1270</v>
      </c>
      <c r="C151" s="49" t="str">
        <f t="shared" si="2"/>
        <v>46011-01_008</v>
      </c>
      <c r="D151" s="51">
        <v>2.6334000000000004</v>
      </c>
      <c r="E151" s="51">
        <v>2.6788000000000003</v>
      </c>
      <c r="F151" s="52">
        <v>1.7280000000000002</v>
      </c>
    </row>
    <row r="152" spans="1:6" x14ac:dyDescent="0.35">
      <c r="A152" s="49" t="s">
        <v>835</v>
      </c>
      <c r="B152" s="49" t="s">
        <v>1272</v>
      </c>
      <c r="C152" s="49" t="str">
        <f t="shared" si="2"/>
        <v>46011-01_057</v>
      </c>
      <c r="D152" s="51">
        <v>2.6477999999999997</v>
      </c>
      <c r="E152" s="51">
        <v>2.6881999999999997</v>
      </c>
      <c r="F152" s="52">
        <v>1.528</v>
      </c>
    </row>
    <row r="153" spans="1:6" x14ac:dyDescent="0.35">
      <c r="A153" s="49" t="s">
        <v>835</v>
      </c>
      <c r="B153" s="49" t="s">
        <v>1274</v>
      </c>
      <c r="C153" s="49" t="str">
        <f t="shared" si="2"/>
        <v>46011-01_SD2</v>
      </c>
      <c r="D153" s="51">
        <v>2.6477500000000003</v>
      </c>
      <c r="E153" s="51">
        <v>2.68</v>
      </c>
      <c r="F153" s="52">
        <v>1.2225000000000001</v>
      </c>
    </row>
    <row r="154" spans="1:6" x14ac:dyDescent="0.35">
      <c r="A154" s="49" t="s">
        <v>564</v>
      </c>
      <c r="B154" s="49" t="s">
        <v>1279</v>
      </c>
      <c r="C154" s="49" t="str">
        <f t="shared" si="2"/>
        <v>42006-01_004</v>
      </c>
      <c r="D154" s="51">
        <v>2.5100000000000002</v>
      </c>
      <c r="E154" s="51">
        <v>2.5763333333333334</v>
      </c>
      <c r="F154" s="52">
        <v>2.64</v>
      </c>
    </row>
    <row r="155" spans="1:6" x14ac:dyDescent="0.35">
      <c r="A155" s="49" t="s">
        <v>564</v>
      </c>
      <c r="B155" s="49" t="s">
        <v>1270</v>
      </c>
      <c r="C155" s="49" t="str">
        <f t="shared" si="2"/>
        <v>42006-01_008</v>
      </c>
      <c r="D155" s="51">
        <v>2.4892500000000002</v>
      </c>
      <c r="E155" s="51">
        <v>2.5767499999999997</v>
      </c>
      <c r="F155" s="52">
        <v>3.5274999999999999</v>
      </c>
    </row>
    <row r="156" spans="1:6" x14ac:dyDescent="0.35">
      <c r="A156" s="49" t="s">
        <v>564</v>
      </c>
      <c r="B156" s="49" t="s">
        <v>1276</v>
      </c>
      <c r="C156" s="49" t="str">
        <f t="shared" si="2"/>
        <v>42006-01_010</v>
      </c>
      <c r="D156" s="51">
        <v>2.6093333333333333</v>
      </c>
      <c r="E156" s="51">
        <v>2.6510000000000002</v>
      </c>
      <c r="F156" s="52">
        <v>1.58</v>
      </c>
    </row>
    <row r="157" spans="1:6" x14ac:dyDescent="0.35">
      <c r="A157" s="49" t="s">
        <v>564</v>
      </c>
      <c r="B157" s="49" t="s">
        <v>1272</v>
      </c>
      <c r="C157" s="49" t="str">
        <f t="shared" si="2"/>
        <v>42006-01_057</v>
      </c>
      <c r="D157" s="51">
        <v>2.5327500000000001</v>
      </c>
      <c r="E157" s="51">
        <v>2.5962500000000004</v>
      </c>
      <c r="F157" s="52">
        <v>2.52</v>
      </c>
    </row>
    <row r="158" spans="1:6" x14ac:dyDescent="0.35">
      <c r="A158" s="49" t="s">
        <v>564</v>
      </c>
      <c r="B158" s="49" t="s">
        <v>1273</v>
      </c>
      <c r="C158" s="49" t="str">
        <f t="shared" si="2"/>
        <v>42006-01_SD5</v>
      </c>
      <c r="D158" s="51">
        <v>2.589</v>
      </c>
      <c r="E158" s="51">
        <v>2.6453333333333333</v>
      </c>
      <c r="F158" s="52">
        <v>2.1666666666666665</v>
      </c>
    </row>
    <row r="159" spans="1:6" x14ac:dyDescent="0.35">
      <c r="A159" s="49" t="s">
        <v>1022</v>
      </c>
      <c r="B159" s="49" t="s">
        <v>1270</v>
      </c>
      <c r="C159" s="49" t="str">
        <f t="shared" si="2"/>
        <v>48039-01_008</v>
      </c>
      <c r="D159" s="51">
        <v>2.5536666666666665</v>
      </c>
      <c r="E159" s="51">
        <v>2.6176666666666666</v>
      </c>
      <c r="F159" s="52">
        <v>2.5033333333333334</v>
      </c>
    </row>
    <row r="160" spans="1:6" x14ac:dyDescent="0.35">
      <c r="A160" s="49" t="s">
        <v>1022</v>
      </c>
      <c r="B160" s="49" t="s">
        <v>1272</v>
      </c>
      <c r="C160" s="49" t="str">
        <f t="shared" si="2"/>
        <v>48039-01_057</v>
      </c>
      <c r="D160" s="51">
        <v>2.5720000000000001</v>
      </c>
      <c r="E160" s="51">
        <v>2.6274999999999999</v>
      </c>
      <c r="F160" s="52">
        <v>2.13</v>
      </c>
    </row>
    <row r="161" spans="1:6" x14ac:dyDescent="0.35">
      <c r="A161" s="49" t="s">
        <v>1022</v>
      </c>
      <c r="B161" s="49" t="s">
        <v>1274</v>
      </c>
      <c r="C161" s="49" t="str">
        <f t="shared" si="2"/>
        <v>48039-01_SD2</v>
      </c>
      <c r="D161" s="51">
        <v>2.6013333333333333</v>
      </c>
      <c r="E161" s="51">
        <v>2.6509999999999998</v>
      </c>
      <c r="F161" s="52">
        <v>1.8933333333333333</v>
      </c>
    </row>
    <row r="162" spans="1:6" x14ac:dyDescent="0.35">
      <c r="A162" s="49" t="s">
        <v>955</v>
      </c>
      <c r="B162" s="49" t="s">
        <v>1270</v>
      </c>
      <c r="C162" s="49" t="str">
        <f t="shared" si="2"/>
        <v>47088-01_008</v>
      </c>
      <c r="D162" s="51">
        <v>2.5484999999999998</v>
      </c>
      <c r="E162" s="51">
        <v>2.6019999999999999</v>
      </c>
      <c r="F162" s="52">
        <v>2.0975000000000001</v>
      </c>
    </row>
    <row r="163" spans="1:6" x14ac:dyDescent="0.35">
      <c r="A163" s="49" t="s">
        <v>955</v>
      </c>
      <c r="B163" s="49" t="s">
        <v>1272</v>
      </c>
      <c r="C163" s="49" t="str">
        <f t="shared" si="2"/>
        <v>47088-01_057</v>
      </c>
      <c r="D163" s="51">
        <v>2.5879999999999996</v>
      </c>
      <c r="E163" s="51">
        <v>2.6279999999999997</v>
      </c>
      <c r="F163" s="52">
        <v>1.54</v>
      </c>
    </row>
    <row r="164" spans="1:6" x14ac:dyDescent="0.35">
      <c r="A164" s="49" t="s">
        <v>955</v>
      </c>
      <c r="B164" s="49" t="s">
        <v>1274</v>
      </c>
      <c r="C164" s="49" t="str">
        <f t="shared" si="2"/>
        <v>47088-01_SD2</v>
      </c>
      <c r="D164" s="51">
        <v>2.5767499999999997</v>
      </c>
      <c r="E164" s="51">
        <v>2.6195000000000004</v>
      </c>
      <c r="F164" s="52">
        <v>1.6625000000000001</v>
      </c>
    </row>
    <row r="165" spans="1:6" x14ac:dyDescent="0.35">
      <c r="A165" s="49" t="s">
        <v>1120</v>
      </c>
      <c r="B165" s="49" t="s">
        <v>1270</v>
      </c>
      <c r="C165" s="49" t="str">
        <f t="shared" si="2"/>
        <v>50009-01_008</v>
      </c>
      <c r="D165" s="51">
        <v>2.5351999999999997</v>
      </c>
      <c r="E165" s="51">
        <v>2.6003999999999996</v>
      </c>
      <c r="F165" s="52">
        <v>2.5859999999999994</v>
      </c>
    </row>
    <row r="166" spans="1:6" x14ac:dyDescent="0.35">
      <c r="A166" s="49" t="s">
        <v>1120</v>
      </c>
      <c r="B166" s="49" t="s">
        <v>1271</v>
      </c>
      <c r="C166" s="49" t="str">
        <f t="shared" si="2"/>
        <v>50009-01_009</v>
      </c>
      <c r="D166" s="51">
        <v>2.4860000000000002</v>
      </c>
      <c r="E166" s="51">
        <v>2.5619999999999998</v>
      </c>
      <c r="F166" s="52">
        <v>3.05</v>
      </c>
    </row>
    <row r="167" spans="1:6" x14ac:dyDescent="0.35">
      <c r="A167" s="49" t="s">
        <v>1120</v>
      </c>
      <c r="B167" s="49" t="s">
        <v>1272</v>
      </c>
      <c r="C167" s="49" t="str">
        <f t="shared" si="2"/>
        <v>50009-01_057</v>
      </c>
      <c r="D167" s="51">
        <v>2.5150000000000001</v>
      </c>
      <c r="E167" s="51">
        <v>2.5834999999999999</v>
      </c>
      <c r="F167" s="52">
        <v>2.73</v>
      </c>
    </row>
    <row r="168" spans="1:6" x14ac:dyDescent="0.35">
      <c r="A168" s="49" t="s">
        <v>1120</v>
      </c>
      <c r="B168" s="49" t="s">
        <v>1274</v>
      </c>
      <c r="C168" s="49" t="str">
        <f t="shared" si="2"/>
        <v>50009-01_SD2</v>
      </c>
      <c r="D168" s="51">
        <v>2.5794999999999999</v>
      </c>
      <c r="E168" s="51">
        <v>2.6267499999999999</v>
      </c>
      <c r="F168" s="52">
        <v>1.8250000000000002</v>
      </c>
    </row>
    <row r="169" spans="1:6" x14ac:dyDescent="0.35">
      <c r="A169" s="49" t="s">
        <v>1120</v>
      </c>
      <c r="B169" s="49" t="s">
        <v>1273</v>
      </c>
      <c r="C169" s="49" t="str">
        <f t="shared" si="2"/>
        <v>50009-01_SD5</v>
      </c>
      <c r="D169" s="51">
        <v>2.56</v>
      </c>
      <c r="E169" s="51">
        <v>2.6044999999999998</v>
      </c>
      <c r="F169" s="52">
        <v>1.7149999999999999</v>
      </c>
    </row>
    <row r="170" spans="1:6" x14ac:dyDescent="0.35">
      <c r="A170" s="49" t="s">
        <v>859</v>
      </c>
      <c r="B170" s="49" t="s">
        <v>1274</v>
      </c>
      <c r="C170" s="49" t="str">
        <f t="shared" si="2"/>
        <v>46030-01_SD2</v>
      </c>
      <c r="D170" s="51">
        <v>2.6509999999999998</v>
      </c>
      <c r="E170" s="51">
        <v>2.6767500000000002</v>
      </c>
      <c r="F170" s="52">
        <v>0.96249999999999991</v>
      </c>
    </row>
    <row r="171" spans="1:6" x14ac:dyDescent="0.35">
      <c r="A171" s="49" t="s">
        <v>506</v>
      </c>
      <c r="B171" s="49" t="s">
        <v>1289</v>
      </c>
      <c r="C171" s="49" t="str">
        <f t="shared" si="2"/>
        <v>41047-01_008M</v>
      </c>
      <c r="D171" s="51">
        <v>3.6320000000000001</v>
      </c>
      <c r="E171" s="51">
        <v>3.6619999999999999</v>
      </c>
      <c r="F171" s="52">
        <v>0.84</v>
      </c>
    </row>
    <row r="172" spans="1:6" x14ac:dyDescent="0.35">
      <c r="A172" s="49" t="s">
        <v>506</v>
      </c>
      <c r="B172" s="49" t="s">
        <v>1290</v>
      </c>
      <c r="C172" s="49" t="str">
        <f t="shared" si="2"/>
        <v>41047-01_SD5M</v>
      </c>
      <c r="D172" s="51">
        <v>3.621</v>
      </c>
      <c r="E172" s="51">
        <v>3.6709999999999998</v>
      </c>
      <c r="F172" s="52">
        <v>1.39</v>
      </c>
    </row>
    <row r="173" spans="1:6" x14ac:dyDescent="0.35">
      <c r="A173" s="49" t="s">
        <v>509</v>
      </c>
      <c r="B173" s="49" t="s">
        <v>1290</v>
      </c>
      <c r="C173" s="49" t="str">
        <f t="shared" si="2"/>
        <v>41047A-01_SD5M</v>
      </c>
      <c r="D173" s="51">
        <v>2.6320000000000001</v>
      </c>
      <c r="E173" s="51">
        <v>2.6709999999999998</v>
      </c>
      <c r="F173" s="52">
        <v>1.5</v>
      </c>
    </row>
    <row r="174" spans="1:6" x14ac:dyDescent="0.35">
      <c r="A174" s="49" t="s">
        <v>1153</v>
      </c>
      <c r="B174" s="49" t="s">
        <v>1270</v>
      </c>
      <c r="C174" s="49" t="str">
        <f t="shared" si="2"/>
        <v>50077-01_008</v>
      </c>
      <c r="D174" s="51">
        <v>2.5430000000000001</v>
      </c>
      <c r="E174" s="51">
        <v>2.5910000000000002</v>
      </c>
      <c r="F174" s="52">
        <v>1.92</v>
      </c>
    </row>
    <row r="175" spans="1:6" x14ac:dyDescent="0.35">
      <c r="A175" s="49" t="s">
        <v>1153</v>
      </c>
      <c r="B175" s="49" t="s">
        <v>1272</v>
      </c>
      <c r="C175" s="49" t="str">
        <f t="shared" si="2"/>
        <v>50077-01_057</v>
      </c>
      <c r="D175" s="51">
        <v>2.5395000000000003</v>
      </c>
      <c r="E175" s="51">
        <v>2.5874999999999999</v>
      </c>
      <c r="F175" s="52">
        <v>1.9</v>
      </c>
    </row>
    <row r="176" spans="1:6" x14ac:dyDescent="0.35">
      <c r="A176" s="49" t="s">
        <v>1153</v>
      </c>
      <c r="B176" s="49" t="s">
        <v>1273</v>
      </c>
      <c r="C176" s="49" t="str">
        <f t="shared" si="2"/>
        <v>50077-01_SD5</v>
      </c>
      <c r="D176" s="51">
        <v>2.5901428571428573</v>
      </c>
      <c r="E176" s="51">
        <v>2.6191428571428577</v>
      </c>
      <c r="F176" s="52">
        <v>1.1199999999999999</v>
      </c>
    </row>
    <row r="177" spans="1:6" x14ac:dyDescent="0.35">
      <c r="A177" s="49" t="s">
        <v>481</v>
      </c>
      <c r="B177" s="49" t="s">
        <v>1274</v>
      </c>
      <c r="C177" s="49" t="str">
        <f t="shared" si="2"/>
        <v>41022-01_SD2</v>
      </c>
      <c r="D177" s="51">
        <v>2.6160000000000001</v>
      </c>
      <c r="E177" s="51">
        <v>2.6459999999999999</v>
      </c>
      <c r="F177" s="52">
        <v>1.1000000000000001</v>
      </c>
    </row>
    <row r="178" spans="1:6" x14ac:dyDescent="0.35">
      <c r="A178" s="49" t="s">
        <v>392</v>
      </c>
      <c r="B178" s="49" t="s">
        <v>1279</v>
      </c>
      <c r="C178" s="49" t="str">
        <f t="shared" si="2"/>
        <v>40001-01_004</v>
      </c>
      <c r="D178" s="51">
        <v>2.7095000000000002</v>
      </c>
      <c r="E178" s="51">
        <v>2.7350000000000003</v>
      </c>
      <c r="F178" s="52">
        <v>0.92500000000000004</v>
      </c>
    </row>
    <row r="179" spans="1:6" x14ac:dyDescent="0.35">
      <c r="A179" s="49" t="s">
        <v>392</v>
      </c>
      <c r="B179" s="49" t="s">
        <v>1280</v>
      </c>
      <c r="C179" s="49" t="str">
        <f t="shared" si="2"/>
        <v>40001-01_007M</v>
      </c>
      <c r="D179" s="51">
        <v>2.6930000000000001</v>
      </c>
      <c r="E179" s="51">
        <v>2.7269999999999999</v>
      </c>
      <c r="F179" s="52">
        <v>1.27</v>
      </c>
    </row>
    <row r="180" spans="1:6" x14ac:dyDescent="0.35">
      <c r="A180" s="49" t="s">
        <v>392</v>
      </c>
      <c r="B180" s="49" t="s">
        <v>1270</v>
      </c>
      <c r="C180" s="49" t="str">
        <f t="shared" si="2"/>
        <v>40001-01_008</v>
      </c>
      <c r="D180" s="51">
        <v>2.6935000000000002</v>
      </c>
      <c r="E180" s="51">
        <v>2.7297500000000001</v>
      </c>
      <c r="F180" s="52">
        <v>1.3425</v>
      </c>
    </row>
    <row r="181" spans="1:6" x14ac:dyDescent="0.35">
      <c r="A181" s="49" t="s">
        <v>392</v>
      </c>
      <c r="B181" s="49" t="s">
        <v>1281</v>
      </c>
      <c r="C181" s="49" t="str">
        <f t="shared" si="2"/>
        <v>40001-01_009M</v>
      </c>
      <c r="D181" s="51">
        <v>2.6776666666666666</v>
      </c>
      <c r="E181" s="51">
        <v>2.7216666666666662</v>
      </c>
      <c r="F181" s="52">
        <v>1.64</v>
      </c>
    </row>
    <row r="182" spans="1:6" x14ac:dyDescent="0.35">
      <c r="A182" s="49" t="s">
        <v>392</v>
      </c>
      <c r="B182" s="49" t="s">
        <v>1276</v>
      </c>
      <c r="C182" s="49" t="str">
        <f t="shared" si="2"/>
        <v>40001-01_010</v>
      </c>
      <c r="D182" s="51">
        <v>2.7162500000000001</v>
      </c>
      <c r="E182" s="51">
        <v>2.7504999999999997</v>
      </c>
      <c r="F182" s="52">
        <v>1.2524999999999999</v>
      </c>
    </row>
    <row r="183" spans="1:6" x14ac:dyDescent="0.35">
      <c r="A183" s="49" t="s">
        <v>392</v>
      </c>
      <c r="B183" s="49" t="s">
        <v>1272</v>
      </c>
      <c r="C183" s="49" t="str">
        <f t="shared" si="2"/>
        <v>40001-01_057</v>
      </c>
      <c r="D183" s="51">
        <v>2.7025000000000001</v>
      </c>
      <c r="E183" s="51">
        <v>2.7327500000000002</v>
      </c>
      <c r="F183" s="52">
        <v>1.1225000000000001</v>
      </c>
    </row>
    <row r="184" spans="1:6" x14ac:dyDescent="0.35">
      <c r="A184" s="49" t="s">
        <v>392</v>
      </c>
      <c r="B184" s="49" t="s">
        <v>1290</v>
      </c>
      <c r="C184" s="49" t="str">
        <f t="shared" si="2"/>
        <v>40001-01_SD5M</v>
      </c>
      <c r="D184" s="51">
        <v>2.7070000000000003</v>
      </c>
      <c r="E184" s="51">
        <v>2.7457500000000001</v>
      </c>
      <c r="F184" s="52">
        <v>1.425</v>
      </c>
    </row>
    <row r="185" spans="1:6" x14ac:dyDescent="0.35">
      <c r="A185" s="49" t="s">
        <v>491</v>
      </c>
      <c r="B185" s="49" t="s">
        <v>1274</v>
      </c>
      <c r="C185" s="49" t="str">
        <f t="shared" si="2"/>
        <v>41028-01_SD2</v>
      </c>
      <c r="D185" s="51">
        <v>2.6298000000000004</v>
      </c>
      <c r="E185" s="51">
        <v>2.6537999999999995</v>
      </c>
      <c r="F185" s="52">
        <v>0.89399999999999991</v>
      </c>
    </row>
    <row r="186" spans="1:6" x14ac:dyDescent="0.35">
      <c r="A186" s="49" t="s">
        <v>463</v>
      </c>
      <c r="B186" s="49" t="s">
        <v>1289</v>
      </c>
      <c r="C186" s="49" t="str">
        <f t="shared" si="2"/>
        <v>41013-01_008M</v>
      </c>
      <c r="D186" s="51">
        <v>2.6560000000000001</v>
      </c>
      <c r="E186" s="51">
        <v>2.7040000000000002</v>
      </c>
      <c r="F186" s="52">
        <v>1.79</v>
      </c>
    </row>
    <row r="187" spans="1:6" x14ac:dyDescent="0.35">
      <c r="A187" s="49" t="s">
        <v>463</v>
      </c>
      <c r="B187" s="49" t="s">
        <v>1281</v>
      </c>
      <c r="C187" s="49" t="str">
        <f t="shared" si="2"/>
        <v>41013-01_009M</v>
      </c>
      <c r="D187" s="51">
        <v>2.6536666666666666</v>
      </c>
      <c r="E187" s="51">
        <v>2.7099999999999995</v>
      </c>
      <c r="F187" s="52">
        <v>2.1199999999999997</v>
      </c>
    </row>
    <row r="188" spans="1:6" x14ac:dyDescent="0.35">
      <c r="A188" s="49" t="s">
        <v>463</v>
      </c>
      <c r="B188" s="49" t="s">
        <v>1276</v>
      </c>
      <c r="C188" s="49" t="str">
        <f t="shared" si="2"/>
        <v>41013-01_010</v>
      </c>
      <c r="D188" s="51">
        <v>2.6566666666666667</v>
      </c>
      <c r="E188" s="51">
        <v>2.7070000000000003</v>
      </c>
      <c r="F188" s="52">
        <v>1.8966666666666667</v>
      </c>
    </row>
    <row r="189" spans="1:6" x14ac:dyDescent="0.35">
      <c r="A189" s="49" t="s">
        <v>463</v>
      </c>
      <c r="B189" s="49" t="s">
        <v>1278</v>
      </c>
      <c r="C189" s="49" t="str">
        <f t="shared" si="2"/>
        <v>41013-01_304</v>
      </c>
      <c r="D189" s="51">
        <v>2.5954999999999999</v>
      </c>
      <c r="E189" s="51">
        <v>2.6669999999999998</v>
      </c>
      <c r="F189" s="52">
        <v>2.7549999999999999</v>
      </c>
    </row>
    <row r="190" spans="1:6" x14ac:dyDescent="0.35">
      <c r="A190" s="49" t="s">
        <v>463</v>
      </c>
      <c r="B190" s="49" t="s">
        <v>1273</v>
      </c>
      <c r="C190" s="49" t="str">
        <f t="shared" si="2"/>
        <v>41013-01_SD5</v>
      </c>
      <c r="D190" s="51">
        <v>2.6863333333333337</v>
      </c>
      <c r="E190" s="51">
        <v>2.7376666666666662</v>
      </c>
      <c r="F190" s="52">
        <v>1.8966666666666665</v>
      </c>
    </row>
    <row r="191" spans="1:6" x14ac:dyDescent="0.35">
      <c r="A191" s="49" t="s">
        <v>466</v>
      </c>
      <c r="B191" s="49" t="s">
        <v>1279</v>
      </c>
      <c r="C191" s="49" t="str">
        <f t="shared" si="2"/>
        <v>41013A-01_004</v>
      </c>
      <c r="D191" s="51">
        <v>2.5155000000000003</v>
      </c>
      <c r="E191" s="51">
        <v>2.585</v>
      </c>
      <c r="F191" s="52">
        <v>2.77</v>
      </c>
    </row>
    <row r="192" spans="1:6" x14ac:dyDescent="0.35">
      <c r="A192" s="49" t="s">
        <v>466</v>
      </c>
      <c r="B192" s="49" t="s">
        <v>1270</v>
      </c>
      <c r="C192" s="49" t="str">
        <f t="shared" si="2"/>
        <v>41013A-01_008</v>
      </c>
      <c r="D192" s="51">
        <v>2.5543333333333336</v>
      </c>
      <c r="E192" s="51">
        <v>2.6259999999999999</v>
      </c>
      <c r="F192" s="52">
        <v>2.8200000000000003</v>
      </c>
    </row>
    <row r="193" spans="1:6" x14ac:dyDescent="0.35">
      <c r="A193" s="49" t="s">
        <v>466</v>
      </c>
      <c r="B193" s="49" t="s">
        <v>1281</v>
      </c>
      <c r="C193" s="49" t="str">
        <f t="shared" si="2"/>
        <v>41013A-01_009M</v>
      </c>
      <c r="D193" s="51">
        <v>2.4940000000000002</v>
      </c>
      <c r="E193" s="51">
        <v>2.5986666666666669</v>
      </c>
      <c r="F193" s="52">
        <v>4.1900000000000004</v>
      </c>
    </row>
    <row r="194" spans="1:6" x14ac:dyDescent="0.35">
      <c r="A194" s="49" t="s">
        <v>466</v>
      </c>
      <c r="B194" s="49" t="s">
        <v>1276</v>
      </c>
      <c r="C194" s="49" t="str">
        <f t="shared" si="2"/>
        <v>41013A-01_010</v>
      </c>
      <c r="D194" s="51">
        <v>2.70675</v>
      </c>
      <c r="E194" s="51">
        <v>2.7522499999999996</v>
      </c>
      <c r="F194" s="52">
        <v>1.6924999999999999</v>
      </c>
    </row>
    <row r="195" spans="1:6" x14ac:dyDescent="0.35">
      <c r="A195" s="49" t="s">
        <v>466</v>
      </c>
      <c r="B195" s="49" t="s">
        <v>1272</v>
      </c>
      <c r="C195" s="49" t="str">
        <f t="shared" ref="C195:C258" si="3">A195&amp;"_"&amp;B195</f>
        <v>41013A-01_057</v>
      </c>
      <c r="D195" s="51">
        <v>2.5582000000000003</v>
      </c>
      <c r="E195" s="51">
        <v>2.6215999999999999</v>
      </c>
      <c r="F195" s="52">
        <v>2.488</v>
      </c>
    </row>
    <row r="196" spans="1:6" x14ac:dyDescent="0.35">
      <c r="A196" s="49" t="s">
        <v>466</v>
      </c>
      <c r="B196" s="49" t="s">
        <v>1293</v>
      </c>
      <c r="C196" s="49" t="str">
        <f t="shared" si="3"/>
        <v>41013A-01_411</v>
      </c>
      <c r="D196" s="51">
        <v>2.6185</v>
      </c>
      <c r="E196" s="51">
        <v>2.6844999999999999</v>
      </c>
      <c r="F196" s="52">
        <v>2.52</v>
      </c>
    </row>
    <row r="197" spans="1:6" x14ac:dyDescent="0.35">
      <c r="A197" s="49" t="s">
        <v>466</v>
      </c>
      <c r="B197" s="49" t="s">
        <v>1290</v>
      </c>
      <c r="C197" s="49" t="str">
        <f t="shared" si="3"/>
        <v>41013A-01_SD5M</v>
      </c>
      <c r="D197" s="51">
        <v>2.6533333333333338</v>
      </c>
      <c r="E197" s="51">
        <v>2.7110000000000003</v>
      </c>
      <c r="F197" s="52">
        <v>2.1800000000000002</v>
      </c>
    </row>
    <row r="198" spans="1:6" x14ac:dyDescent="0.35">
      <c r="A198" s="49" t="s">
        <v>510</v>
      </c>
      <c r="B198" s="49" t="s">
        <v>1274</v>
      </c>
      <c r="C198" s="49" t="str">
        <f t="shared" si="3"/>
        <v>41056-01_SD2</v>
      </c>
      <c r="D198" s="51">
        <v>2.6245000000000003</v>
      </c>
      <c r="E198" s="51">
        <v>2.6512500000000001</v>
      </c>
      <c r="F198" s="52">
        <v>1.01</v>
      </c>
    </row>
    <row r="199" spans="1:6" x14ac:dyDescent="0.35">
      <c r="A199" s="49" t="s">
        <v>512</v>
      </c>
      <c r="B199" s="49" t="s">
        <v>1290</v>
      </c>
      <c r="C199" s="49" t="str">
        <f t="shared" si="3"/>
        <v>41056A-01_SD5M</v>
      </c>
      <c r="D199" s="51">
        <v>2.6425000000000001</v>
      </c>
      <c r="E199" s="51">
        <v>2.677</v>
      </c>
      <c r="F199" s="52">
        <v>1.3049999999999999</v>
      </c>
    </row>
    <row r="200" spans="1:6" x14ac:dyDescent="0.35">
      <c r="A200" s="49" t="s">
        <v>515</v>
      </c>
      <c r="B200" s="49" t="s">
        <v>1274</v>
      </c>
      <c r="C200" s="49" t="str">
        <f t="shared" si="3"/>
        <v>41059-01_SD2</v>
      </c>
      <c r="D200" s="51">
        <v>2.6143999999999998</v>
      </c>
      <c r="E200" s="51">
        <v>2.6408</v>
      </c>
      <c r="F200" s="52">
        <v>1.008</v>
      </c>
    </row>
    <row r="201" spans="1:6" x14ac:dyDescent="0.35">
      <c r="A201" s="49" t="s">
        <v>476</v>
      </c>
      <c r="B201" s="49" t="s">
        <v>1270</v>
      </c>
      <c r="C201" s="49" t="str">
        <f t="shared" si="3"/>
        <v>41020-01_008</v>
      </c>
      <c r="D201" s="51">
        <v>2.6379999999999999</v>
      </c>
      <c r="E201" s="51">
        <v>2.670666666666667</v>
      </c>
      <c r="F201" s="52">
        <v>1.2433333333333332</v>
      </c>
    </row>
    <row r="202" spans="1:6" x14ac:dyDescent="0.35">
      <c r="A202" s="49" t="s">
        <v>476</v>
      </c>
      <c r="B202" s="49" t="s">
        <v>1272</v>
      </c>
      <c r="C202" s="49" t="str">
        <f t="shared" si="3"/>
        <v>41020-01_057</v>
      </c>
      <c r="D202" s="51">
        <v>2.6696666666666666</v>
      </c>
      <c r="E202" s="51">
        <v>2.6973333333333334</v>
      </c>
      <c r="F202" s="52">
        <v>1.04</v>
      </c>
    </row>
    <row r="203" spans="1:6" x14ac:dyDescent="0.35">
      <c r="A203" s="49" t="s">
        <v>476</v>
      </c>
      <c r="B203" s="49" t="s">
        <v>1274</v>
      </c>
      <c r="C203" s="49" t="str">
        <f t="shared" si="3"/>
        <v>41020-01_SD2</v>
      </c>
      <c r="D203" s="51">
        <v>2.6172500000000003</v>
      </c>
      <c r="E203" s="51">
        <v>2.6472500000000001</v>
      </c>
      <c r="F203" s="52">
        <v>1.1575000000000002</v>
      </c>
    </row>
    <row r="204" spans="1:6" x14ac:dyDescent="0.35">
      <c r="A204" s="49" t="s">
        <v>476</v>
      </c>
      <c r="B204" s="49" t="s">
        <v>1273</v>
      </c>
      <c r="C204" s="49" t="str">
        <f t="shared" si="3"/>
        <v>41020-01_SD5</v>
      </c>
      <c r="D204" s="51">
        <v>2.6310000000000002</v>
      </c>
      <c r="E204" s="51">
        <v>2.6615000000000002</v>
      </c>
      <c r="F204" s="52">
        <v>1.1599999999999999</v>
      </c>
    </row>
    <row r="205" spans="1:6" x14ac:dyDescent="0.35">
      <c r="A205" s="49" t="s">
        <v>476</v>
      </c>
      <c r="B205" s="49" t="s">
        <v>1290</v>
      </c>
      <c r="C205" s="49" t="str">
        <f t="shared" si="3"/>
        <v>41020-01_SD5M</v>
      </c>
      <c r="D205" s="51">
        <v>2.633</v>
      </c>
      <c r="E205" s="51">
        <v>2.661</v>
      </c>
      <c r="F205" s="52">
        <v>1.08</v>
      </c>
    </row>
    <row r="206" spans="1:6" x14ac:dyDescent="0.35">
      <c r="A206" s="49" t="s">
        <v>479</v>
      </c>
      <c r="B206" s="49" t="s">
        <v>1289</v>
      </c>
      <c r="C206" s="49" t="str">
        <f t="shared" si="3"/>
        <v>41020A-01_008M</v>
      </c>
      <c r="D206" s="51">
        <v>2.6425000000000001</v>
      </c>
      <c r="E206" s="51">
        <v>2.6825000000000001</v>
      </c>
      <c r="F206" s="52">
        <v>1.5275000000000001</v>
      </c>
    </row>
    <row r="207" spans="1:6" x14ac:dyDescent="0.35">
      <c r="A207" s="49" t="s">
        <v>479</v>
      </c>
      <c r="B207" s="49" t="s">
        <v>1272</v>
      </c>
      <c r="C207" s="49" t="str">
        <f t="shared" si="3"/>
        <v>41020A-01_057</v>
      </c>
      <c r="D207" s="51">
        <v>2.6972499999999999</v>
      </c>
      <c r="E207" s="51">
        <v>2.71875</v>
      </c>
      <c r="F207" s="52">
        <v>0.79749999999999999</v>
      </c>
    </row>
    <row r="208" spans="1:6" x14ac:dyDescent="0.35">
      <c r="A208" s="49" t="s">
        <v>479</v>
      </c>
      <c r="B208" s="49" t="s">
        <v>1274</v>
      </c>
      <c r="C208" s="49" t="str">
        <f t="shared" si="3"/>
        <v>41020A-01_SD2</v>
      </c>
      <c r="D208" s="51">
        <v>2.61</v>
      </c>
      <c r="E208" s="51">
        <v>2.6416666666666671</v>
      </c>
      <c r="F208" s="52">
        <v>1.2066666666666668</v>
      </c>
    </row>
    <row r="209" spans="1:6" x14ac:dyDescent="0.35">
      <c r="A209" s="49" t="s">
        <v>479</v>
      </c>
      <c r="B209" s="49" t="s">
        <v>1290</v>
      </c>
      <c r="C209" s="49" t="str">
        <f t="shared" si="3"/>
        <v>41020A-01_SD5M</v>
      </c>
      <c r="D209" s="51">
        <v>2.6763333333333335</v>
      </c>
      <c r="E209" s="51">
        <v>2.7050000000000001</v>
      </c>
      <c r="F209" s="52">
        <v>1.0733333333333335</v>
      </c>
    </row>
    <row r="210" spans="1:6" x14ac:dyDescent="0.35">
      <c r="A210" s="49" t="s">
        <v>453</v>
      </c>
      <c r="B210" s="49" t="s">
        <v>1275</v>
      </c>
      <c r="C210" s="49" t="str">
        <f t="shared" si="3"/>
        <v>41008-01_004M</v>
      </c>
      <c r="D210" s="51">
        <v>2.6036666666666668</v>
      </c>
      <c r="E210" s="51">
        <v>2.6373333333333329</v>
      </c>
      <c r="F210" s="52">
        <v>1.29</v>
      </c>
    </row>
    <row r="211" spans="1:6" x14ac:dyDescent="0.35">
      <c r="A211" s="49" t="s">
        <v>453</v>
      </c>
      <c r="B211" s="49" t="s">
        <v>1270</v>
      </c>
      <c r="C211" s="49" t="str">
        <f t="shared" si="3"/>
        <v>41008-01_008</v>
      </c>
      <c r="D211" s="51">
        <v>2.6748000000000003</v>
      </c>
      <c r="E211" s="51">
        <v>2.7083999999999997</v>
      </c>
      <c r="F211" s="52">
        <v>1.246</v>
      </c>
    </row>
    <row r="212" spans="1:6" x14ac:dyDescent="0.35">
      <c r="A212" s="49" t="s">
        <v>453</v>
      </c>
      <c r="B212" s="49" t="s">
        <v>1281</v>
      </c>
      <c r="C212" s="49" t="str">
        <f t="shared" si="3"/>
        <v>41008-01_009M</v>
      </c>
      <c r="D212" s="51">
        <v>2.67625</v>
      </c>
      <c r="E212" s="51">
        <v>2.7164999999999999</v>
      </c>
      <c r="F212" s="52">
        <v>1.51</v>
      </c>
    </row>
    <row r="213" spans="1:6" x14ac:dyDescent="0.35">
      <c r="A213" s="49" t="s">
        <v>453</v>
      </c>
      <c r="B213" s="49" t="s">
        <v>1276</v>
      </c>
      <c r="C213" s="49" t="str">
        <f t="shared" si="3"/>
        <v>41008-01_010</v>
      </c>
      <c r="D213" s="51">
        <v>2.7520000000000002</v>
      </c>
      <c r="E213" s="51">
        <v>2.7744999999999997</v>
      </c>
      <c r="F213" s="52">
        <v>0.8125</v>
      </c>
    </row>
    <row r="214" spans="1:6" x14ac:dyDescent="0.35">
      <c r="A214" s="49" t="s">
        <v>453</v>
      </c>
      <c r="B214" s="49" t="s">
        <v>1272</v>
      </c>
      <c r="C214" s="49" t="str">
        <f t="shared" si="3"/>
        <v>41008-01_057</v>
      </c>
      <c r="D214" s="51">
        <v>2.6785000000000001</v>
      </c>
      <c r="E214" s="51">
        <v>2.7036666666666669</v>
      </c>
      <c r="F214" s="52">
        <v>0.94499999999999995</v>
      </c>
    </row>
    <row r="215" spans="1:6" x14ac:dyDescent="0.35">
      <c r="A215" s="49" t="s">
        <v>453</v>
      </c>
      <c r="B215" s="49" t="s">
        <v>1274</v>
      </c>
      <c r="C215" s="49" t="str">
        <f t="shared" si="3"/>
        <v>41008-01_SD2</v>
      </c>
      <c r="D215" s="51">
        <v>2.762</v>
      </c>
      <c r="E215" s="51">
        <v>2.782</v>
      </c>
      <c r="F215" s="52">
        <v>0.72333333333333327</v>
      </c>
    </row>
    <row r="216" spans="1:6" x14ac:dyDescent="0.35">
      <c r="A216" s="49" t="s">
        <v>453</v>
      </c>
      <c r="B216" s="49" t="s">
        <v>1273</v>
      </c>
      <c r="C216" s="49" t="str">
        <f t="shared" si="3"/>
        <v>41008-01_SD5</v>
      </c>
      <c r="D216" s="51">
        <v>2.7509999999999999</v>
      </c>
      <c r="E216" s="51">
        <v>2.7759999999999998</v>
      </c>
      <c r="F216" s="52">
        <v>0.91</v>
      </c>
    </row>
    <row r="217" spans="1:6" x14ac:dyDescent="0.35">
      <c r="A217" s="49" t="s">
        <v>474</v>
      </c>
      <c r="B217" s="49" t="s">
        <v>1270</v>
      </c>
      <c r="C217" s="49" t="str">
        <f t="shared" si="3"/>
        <v>41018-01_008</v>
      </c>
      <c r="D217" s="51">
        <v>2.6785000000000001</v>
      </c>
      <c r="E217" s="51">
        <v>2.7214999999999998</v>
      </c>
      <c r="F217" s="52">
        <v>1.6074999999999999</v>
      </c>
    </row>
    <row r="218" spans="1:6" x14ac:dyDescent="0.35">
      <c r="A218" s="49" t="s">
        <v>474</v>
      </c>
      <c r="B218" s="49" t="s">
        <v>1272</v>
      </c>
      <c r="C218" s="49" t="str">
        <f t="shared" si="3"/>
        <v>41018-01_057</v>
      </c>
      <c r="D218" s="51">
        <v>2.69</v>
      </c>
      <c r="E218" s="51">
        <v>2.7225000000000001</v>
      </c>
      <c r="F218" s="52">
        <v>1.1975</v>
      </c>
    </row>
    <row r="219" spans="1:6" x14ac:dyDescent="0.35">
      <c r="A219" s="49" t="s">
        <v>1066</v>
      </c>
      <c r="B219" s="49" t="s">
        <v>1270</v>
      </c>
      <c r="C219" s="49" t="str">
        <f t="shared" si="3"/>
        <v>49049-01_008</v>
      </c>
      <c r="D219" s="51">
        <v>2.673</v>
      </c>
      <c r="E219" s="51">
        <v>2.6920000000000002</v>
      </c>
      <c r="F219" s="52">
        <v>0.73</v>
      </c>
    </row>
    <row r="220" spans="1:6" x14ac:dyDescent="0.35">
      <c r="A220" s="49" t="s">
        <v>1066</v>
      </c>
      <c r="B220" s="49" t="s">
        <v>1272</v>
      </c>
      <c r="C220" s="49" t="str">
        <f t="shared" si="3"/>
        <v>49049-01_057</v>
      </c>
      <c r="D220" s="51">
        <v>2.6890000000000001</v>
      </c>
      <c r="E220" s="51">
        <v>2.7029999999999998</v>
      </c>
      <c r="F220" s="52">
        <v>0.53</v>
      </c>
    </row>
    <row r="221" spans="1:6" x14ac:dyDescent="0.35">
      <c r="A221" s="49" t="s">
        <v>1066</v>
      </c>
      <c r="B221" s="49" t="s">
        <v>1273</v>
      </c>
      <c r="C221" s="49" t="str">
        <f t="shared" si="3"/>
        <v>49049-01_SD5</v>
      </c>
      <c r="D221" s="51">
        <v>2.68</v>
      </c>
      <c r="E221" s="51">
        <v>2.6949999999999998</v>
      </c>
      <c r="F221" s="52">
        <v>0.56000000000000005</v>
      </c>
    </row>
    <row r="222" spans="1:6" x14ac:dyDescent="0.35">
      <c r="A222" s="49" t="s">
        <v>1066</v>
      </c>
      <c r="B222" s="49" t="s">
        <v>1290</v>
      </c>
      <c r="C222" s="49" t="str">
        <f t="shared" si="3"/>
        <v>49049-01_SD5M</v>
      </c>
      <c r="D222" s="51">
        <v>2.6869999999999998</v>
      </c>
      <c r="E222" s="51">
        <v>2.698</v>
      </c>
      <c r="F222" s="52">
        <v>0.41</v>
      </c>
    </row>
    <row r="223" spans="1:6" x14ac:dyDescent="0.35">
      <c r="A223" s="49" t="s">
        <v>938</v>
      </c>
      <c r="B223" s="49" t="s">
        <v>1270</v>
      </c>
      <c r="C223" s="49" t="str">
        <f t="shared" si="3"/>
        <v>47072-01_008</v>
      </c>
      <c r="D223" s="51">
        <v>2.5507500000000003</v>
      </c>
      <c r="E223" s="51">
        <v>2.6025</v>
      </c>
      <c r="F223" s="52">
        <v>2.0174999999999996</v>
      </c>
    </row>
    <row r="224" spans="1:6" x14ac:dyDescent="0.35">
      <c r="A224" s="49" t="s">
        <v>938</v>
      </c>
      <c r="B224" s="49" t="s">
        <v>1272</v>
      </c>
      <c r="C224" s="49" t="str">
        <f t="shared" si="3"/>
        <v>47072-01_057</v>
      </c>
      <c r="D224" s="51">
        <v>2.5727500000000001</v>
      </c>
      <c r="E224" s="51">
        <v>2.6187500000000004</v>
      </c>
      <c r="F224" s="52">
        <v>1.79</v>
      </c>
    </row>
    <row r="225" spans="1:6" x14ac:dyDescent="0.35">
      <c r="A225" s="49" t="s">
        <v>938</v>
      </c>
      <c r="B225" s="49" t="s">
        <v>1274</v>
      </c>
      <c r="C225" s="49" t="str">
        <f t="shared" si="3"/>
        <v>47072-01_SD2</v>
      </c>
      <c r="D225" s="51">
        <v>2.6163333333333334</v>
      </c>
      <c r="E225" s="51">
        <v>2.6433333333333335</v>
      </c>
      <c r="F225" s="52">
        <v>1.0233333333333334</v>
      </c>
    </row>
    <row r="226" spans="1:6" x14ac:dyDescent="0.35">
      <c r="A226" s="49" t="s">
        <v>938</v>
      </c>
      <c r="B226" s="49" t="s">
        <v>1273</v>
      </c>
      <c r="C226" s="49" t="str">
        <f t="shared" si="3"/>
        <v>47072-01_SD5</v>
      </c>
      <c r="D226" s="51">
        <v>2.6120000000000001</v>
      </c>
      <c r="E226" s="51">
        <v>2.637</v>
      </c>
      <c r="F226" s="52">
        <v>0.95</v>
      </c>
    </row>
    <row r="227" spans="1:6" x14ac:dyDescent="0.35">
      <c r="A227" s="49" t="s">
        <v>600</v>
      </c>
      <c r="B227" s="49" t="s">
        <v>1270</v>
      </c>
      <c r="C227" s="49" t="str">
        <f t="shared" si="3"/>
        <v>43011-01_008</v>
      </c>
      <c r="D227" s="51">
        <v>2.6850000000000001</v>
      </c>
      <c r="E227" s="51">
        <v>2.6989999999999998</v>
      </c>
      <c r="F227" s="52">
        <v>0.53</v>
      </c>
    </row>
    <row r="228" spans="1:6" x14ac:dyDescent="0.35">
      <c r="A228" s="49" t="s">
        <v>600</v>
      </c>
      <c r="B228" s="49" t="s">
        <v>1272</v>
      </c>
      <c r="C228" s="49" t="str">
        <f t="shared" si="3"/>
        <v>43011-01_057</v>
      </c>
      <c r="D228" s="51">
        <v>2.6960000000000002</v>
      </c>
      <c r="E228" s="51">
        <v>2.7069999999999999</v>
      </c>
      <c r="F228" s="52">
        <v>0.43</v>
      </c>
    </row>
    <row r="229" spans="1:6" x14ac:dyDescent="0.35">
      <c r="A229" s="49" t="s">
        <v>600</v>
      </c>
      <c r="B229" s="49" t="s">
        <v>1270</v>
      </c>
      <c r="C229" s="49" t="str">
        <f t="shared" si="3"/>
        <v>43011-01_008</v>
      </c>
      <c r="D229" s="51">
        <v>2.6755</v>
      </c>
      <c r="E229" s="51">
        <v>2.6900000000000004</v>
      </c>
      <c r="F229" s="52">
        <v>0.53500000000000003</v>
      </c>
    </row>
    <row r="230" spans="1:6" x14ac:dyDescent="0.35">
      <c r="A230" s="49" t="s">
        <v>600</v>
      </c>
      <c r="B230" s="49" t="s">
        <v>1276</v>
      </c>
      <c r="C230" s="49" t="str">
        <f t="shared" si="3"/>
        <v>43011-01_010</v>
      </c>
      <c r="D230" s="51">
        <v>2.6644999999999999</v>
      </c>
      <c r="E230" s="51">
        <v>2.6840000000000002</v>
      </c>
      <c r="F230" s="52">
        <v>0.72499999999999998</v>
      </c>
    </row>
    <row r="231" spans="1:6" x14ac:dyDescent="0.35">
      <c r="A231" s="49" t="s">
        <v>600</v>
      </c>
      <c r="B231" s="49" t="s">
        <v>1272</v>
      </c>
      <c r="C231" s="49" t="str">
        <f t="shared" si="3"/>
        <v>43011-01_057</v>
      </c>
      <c r="D231" s="51">
        <v>2.6870000000000003</v>
      </c>
      <c r="E231" s="51">
        <v>2.6992499999999997</v>
      </c>
      <c r="F231" s="52">
        <v>0.45750000000000002</v>
      </c>
    </row>
    <row r="232" spans="1:6" x14ac:dyDescent="0.35">
      <c r="A232" s="49" t="s">
        <v>600</v>
      </c>
      <c r="B232" s="49" t="s">
        <v>1273</v>
      </c>
      <c r="C232" s="49" t="str">
        <f t="shared" si="3"/>
        <v>43011-01_SD5</v>
      </c>
      <c r="D232" s="51">
        <v>2.6749999999999998</v>
      </c>
      <c r="E232" s="51">
        <v>2.6924999999999999</v>
      </c>
      <c r="F232" s="52">
        <v>0.65999999999999992</v>
      </c>
    </row>
    <row r="233" spans="1:6" x14ac:dyDescent="0.35">
      <c r="A233" s="49" t="s">
        <v>468</v>
      </c>
      <c r="B233" s="49" t="s">
        <v>1279</v>
      </c>
      <c r="C233" s="49" t="str">
        <f t="shared" si="3"/>
        <v>41014-01_004</v>
      </c>
      <c r="D233" s="51">
        <v>2.5346666666666664</v>
      </c>
      <c r="E233" s="51">
        <v>2.5939999999999999</v>
      </c>
      <c r="F233" s="52">
        <v>2.3266666666666667</v>
      </c>
    </row>
    <row r="234" spans="1:6" x14ac:dyDescent="0.35">
      <c r="A234" s="49" t="s">
        <v>468</v>
      </c>
      <c r="B234" s="49" t="s">
        <v>1270</v>
      </c>
      <c r="C234" s="49" t="str">
        <f t="shared" si="3"/>
        <v>41014-01_008</v>
      </c>
      <c r="D234" s="51">
        <v>2.5518000000000001</v>
      </c>
      <c r="E234" s="51">
        <v>2.6198000000000001</v>
      </c>
      <c r="F234" s="52">
        <v>2.67</v>
      </c>
    </row>
    <row r="235" spans="1:6" x14ac:dyDescent="0.35">
      <c r="A235" s="49" t="s">
        <v>468</v>
      </c>
      <c r="B235" s="49" t="s">
        <v>1271</v>
      </c>
      <c r="C235" s="49" t="str">
        <f t="shared" si="3"/>
        <v>41014-01_009</v>
      </c>
      <c r="D235" s="51">
        <v>2.52725</v>
      </c>
      <c r="E235" s="51">
        <v>2.6094999999999997</v>
      </c>
      <c r="F235" s="52">
        <v>3.2700000000000005</v>
      </c>
    </row>
    <row r="236" spans="1:6" x14ac:dyDescent="0.35">
      <c r="A236" s="49" t="s">
        <v>468</v>
      </c>
      <c r="B236" s="49" t="s">
        <v>1272</v>
      </c>
      <c r="C236" s="49" t="str">
        <f t="shared" si="3"/>
        <v>41014-01_057</v>
      </c>
      <c r="D236" s="51">
        <v>2.5630000000000002</v>
      </c>
      <c r="E236" s="51">
        <v>2.6193999999999997</v>
      </c>
      <c r="F236" s="52">
        <v>2.21</v>
      </c>
    </row>
    <row r="237" spans="1:6" x14ac:dyDescent="0.35">
      <c r="A237" s="49" t="s">
        <v>468</v>
      </c>
      <c r="B237" s="49" t="s">
        <v>1285</v>
      </c>
      <c r="C237" s="49" t="str">
        <f t="shared" si="3"/>
        <v>41014-01_067</v>
      </c>
      <c r="D237" s="51">
        <v>2.5865</v>
      </c>
      <c r="E237" s="51">
        <v>2.6440000000000001</v>
      </c>
      <c r="F237" s="52">
        <v>2.2450000000000001</v>
      </c>
    </row>
    <row r="238" spans="1:6" x14ac:dyDescent="0.35">
      <c r="A238" s="49" t="s">
        <v>468</v>
      </c>
      <c r="B238" s="49" t="s">
        <v>1273</v>
      </c>
      <c r="C238" s="49" t="str">
        <f t="shared" si="3"/>
        <v>41014-01_SD5</v>
      </c>
      <c r="D238" s="51">
        <v>2.5572499999999998</v>
      </c>
      <c r="E238" s="51">
        <v>2.6277499999999998</v>
      </c>
      <c r="F238" s="52">
        <v>2.7424999999999997</v>
      </c>
    </row>
    <row r="239" spans="1:6" x14ac:dyDescent="0.35">
      <c r="A239" s="49" t="s">
        <v>556</v>
      </c>
      <c r="B239" s="49" t="s">
        <v>1279</v>
      </c>
      <c r="C239" s="49" t="str">
        <f t="shared" si="3"/>
        <v>42005A-01_004</v>
      </c>
      <c r="D239" s="51">
        <v>2.629</v>
      </c>
      <c r="E239" s="51">
        <v>2.66</v>
      </c>
      <c r="F239" s="52">
        <v>1.1766666666666665</v>
      </c>
    </row>
    <row r="240" spans="1:6" x14ac:dyDescent="0.35">
      <c r="A240" s="49" t="s">
        <v>556</v>
      </c>
      <c r="B240" s="49" t="s">
        <v>1294</v>
      </c>
      <c r="C240" s="49" t="str">
        <f t="shared" si="3"/>
        <v>42005A-01_007</v>
      </c>
      <c r="D240" s="51">
        <v>2.6109999999999998</v>
      </c>
      <c r="E240" s="51">
        <v>2.6494999999999997</v>
      </c>
      <c r="F240" s="52">
        <v>1.4649999999999999</v>
      </c>
    </row>
    <row r="241" spans="1:6" x14ac:dyDescent="0.35">
      <c r="A241" s="49" t="s">
        <v>556</v>
      </c>
      <c r="B241" s="49" t="s">
        <v>1270</v>
      </c>
      <c r="C241" s="49" t="str">
        <f t="shared" si="3"/>
        <v>42005A-01_008</v>
      </c>
      <c r="D241" s="51">
        <v>2.6123333333333334</v>
      </c>
      <c r="E241" s="51">
        <v>2.6513333333333335</v>
      </c>
      <c r="F241" s="52">
        <v>1.4933333333333334</v>
      </c>
    </row>
    <row r="242" spans="1:6" x14ac:dyDescent="0.35">
      <c r="A242" s="49" t="s">
        <v>556</v>
      </c>
      <c r="B242" s="49" t="s">
        <v>1271</v>
      </c>
      <c r="C242" s="49" t="str">
        <f t="shared" si="3"/>
        <v>42005A-01_009</v>
      </c>
      <c r="D242" s="51">
        <v>2.5576666666666665</v>
      </c>
      <c r="E242" s="51">
        <v>2.613</v>
      </c>
      <c r="F242" s="52">
        <v>2.1666666666666665</v>
      </c>
    </row>
    <row r="243" spans="1:6" x14ac:dyDescent="0.35">
      <c r="A243" s="49" t="s">
        <v>556</v>
      </c>
      <c r="B243" s="49" t="s">
        <v>1276</v>
      </c>
      <c r="C243" s="49" t="str">
        <f t="shared" si="3"/>
        <v>42005A-01_010</v>
      </c>
      <c r="D243" s="51">
        <v>2.6046666666666667</v>
      </c>
      <c r="E243" s="51">
        <v>2.6486666666666667</v>
      </c>
      <c r="F243" s="52">
        <v>1.6833333333333333</v>
      </c>
    </row>
    <row r="244" spans="1:6" x14ac:dyDescent="0.35">
      <c r="A244" s="49" t="s">
        <v>556</v>
      </c>
      <c r="B244" s="49" t="s">
        <v>1272</v>
      </c>
      <c r="C244" s="49" t="str">
        <f t="shared" si="3"/>
        <v>42005A-01_057</v>
      </c>
      <c r="D244" s="51">
        <v>2.6206666666666667</v>
      </c>
      <c r="E244" s="51">
        <v>2.6550000000000002</v>
      </c>
      <c r="F244" s="52">
        <v>1.2966666666666669</v>
      </c>
    </row>
    <row r="245" spans="1:6" x14ac:dyDescent="0.35">
      <c r="A245" s="49" t="s">
        <v>556</v>
      </c>
      <c r="B245" s="49" t="s">
        <v>1285</v>
      </c>
      <c r="C245" s="49" t="str">
        <f t="shared" si="3"/>
        <v>42005A-01_067</v>
      </c>
      <c r="D245" s="51">
        <v>2.6043333333333334</v>
      </c>
      <c r="E245" s="51">
        <v>2.6436666666666664</v>
      </c>
      <c r="F245" s="52">
        <v>1.5133333333333334</v>
      </c>
    </row>
    <row r="246" spans="1:6" x14ac:dyDescent="0.35">
      <c r="A246" s="49" t="s">
        <v>556</v>
      </c>
      <c r="B246" s="49" t="s">
        <v>1273</v>
      </c>
      <c r="C246" s="49" t="str">
        <f t="shared" si="3"/>
        <v>42005A-01_SD5</v>
      </c>
      <c r="D246" s="51">
        <v>2.6006666666666667</v>
      </c>
      <c r="E246" s="51">
        <v>2.6456666666666666</v>
      </c>
      <c r="F246" s="52">
        <v>1.7233333333333334</v>
      </c>
    </row>
    <row r="247" spans="1:6" x14ac:dyDescent="0.35">
      <c r="A247" s="49" t="s">
        <v>560</v>
      </c>
      <c r="B247" s="49" t="s">
        <v>1279</v>
      </c>
      <c r="C247" s="49" t="str">
        <f t="shared" si="3"/>
        <v>42005C-01_004</v>
      </c>
      <c r="D247" s="51">
        <v>2.591333333333333</v>
      </c>
      <c r="E247" s="51">
        <v>2.6396666666666668</v>
      </c>
      <c r="F247" s="52">
        <v>1.8699999999999999</v>
      </c>
    </row>
    <row r="248" spans="1:6" x14ac:dyDescent="0.35">
      <c r="A248" s="49" t="s">
        <v>560</v>
      </c>
      <c r="B248" s="49" t="s">
        <v>1270</v>
      </c>
      <c r="C248" s="49" t="str">
        <f t="shared" si="3"/>
        <v>42005C-01_008</v>
      </c>
      <c r="D248" s="51">
        <v>2.54175</v>
      </c>
      <c r="E248" s="51">
        <v>2.6152500000000001</v>
      </c>
      <c r="F248" s="52">
        <v>2.89</v>
      </c>
    </row>
    <row r="249" spans="1:6" x14ac:dyDescent="0.35">
      <c r="A249" s="49" t="s">
        <v>560</v>
      </c>
      <c r="B249" s="49" t="s">
        <v>1273</v>
      </c>
      <c r="C249" s="49" t="str">
        <f t="shared" si="3"/>
        <v>42005C-01_SD5</v>
      </c>
      <c r="D249" s="51">
        <v>2.5883333333333334</v>
      </c>
      <c r="E249" s="51">
        <v>2.6543333333333332</v>
      </c>
      <c r="F249" s="52">
        <v>2.5433333333333334</v>
      </c>
    </row>
    <row r="250" spans="1:6" x14ac:dyDescent="0.35">
      <c r="A250" s="49" t="s">
        <v>558</v>
      </c>
      <c r="B250" s="49" t="s">
        <v>1287</v>
      </c>
      <c r="C250" s="49" t="str">
        <f t="shared" si="3"/>
        <v>42005B-01_RAL</v>
      </c>
      <c r="D250" s="51">
        <v>2.6059999999999999</v>
      </c>
      <c r="E250" s="51">
        <v>2.6546666666666665</v>
      </c>
      <c r="F250" s="52">
        <v>1.8466666666666667</v>
      </c>
    </row>
    <row r="251" spans="1:6" x14ac:dyDescent="0.35">
      <c r="A251" s="49" t="s">
        <v>562</v>
      </c>
      <c r="B251" s="49" t="s">
        <v>1272</v>
      </c>
      <c r="C251" s="49" t="str">
        <f t="shared" si="3"/>
        <v>42005D-01_057</v>
      </c>
      <c r="D251" s="51">
        <v>2.5590000000000002</v>
      </c>
      <c r="E251" s="51">
        <v>2.6189999999999998</v>
      </c>
      <c r="F251" s="52">
        <v>2.35</v>
      </c>
    </row>
    <row r="252" spans="1:6" x14ac:dyDescent="0.35">
      <c r="A252" s="49" t="s">
        <v>1017</v>
      </c>
      <c r="B252" s="49" t="s">
        <v>1272</v>
      </c>
      <c r="C252" s="49" t="str">
        <f t="shared" si="3"/>
        <v>48037-01_057</v>
      </c>
      <c r="D252" s="51">
        <v>2.6615000000000002</v>
      </c>
      <c r="E252" s="51">
        <v>2.6734999999999998</v>
      </c>
      <c r="F252" s="52">
        <v>0.45999999999999996</v>
      </c>
    </row>
    <row r="253" spans="1:6" x14ac:dyDescent="0.35">
      <c r="A253" s="49" t="s">
        <v>1017</v>
      </c>
      <c r="B253" s="49" t="s">
        <v>1290</v>
      </c>
      <c r="C253" s="49" t="str">
        <f t="shared" si="3"/>
        <v>48037-01_SD5M</v>
      </c>
      <c r="D253" s="51">
        <v>2.6135000000000002</v>
      </c>
      <c r="E253" s="51">
        <v>2.6470000000000002</v>
      </c>
      <c r="F253" s="52">
        <v>1.27</v>
      </c>
    </row>
    <row r="254" spans="1:6" x14ac:dyDescent="0.35">
      <c r="A254" s="49" t="s">
        <v>1019</v>
      </c>
      <c r="B254" s="49" t="s">
        <v>1285</v>
      </c>
      <c r="C254" s="49" t="str">
        <f t="shared" si="3"/>
        <v>48037A-01_067</v>
      </c>
      <c r="D254" s="51">
        <v>2.653</v>
      </c>
      <c r="E254" s="51">
        <v>2.6659999999999999</v>
      </c>
      <c r="F254" s="52">
        <v>0.51</v>
      </c>
    </row>
    <row r="255" spans="1:6" x14ac:dyDescent="0.35">
      <c r="A255" s="49" t="s">
        <v>1007</v>
      </c>
      <c r="B255" s="49" t="s">
        <v>1270</v>
      </c>
      <c r="C255" s="49" t="str">
        <f t="shared" si="3"/>
        <v>48020-01_008</v>
      </c>
      <c r="D255" s="51">
        <v>2.601</v>
      </c>
      <c r="E255" s="51">
        <v>2.6555</v>
      </c>
      <c r="F255" s="52">
        <v>2.09</v>
      </c>
    </row>
    <row r="256" spans="1:6" x14ac:dyDescent="0.35">
      <c r="A256" s="49" t="s">
        <v>1007</v>
      </c>
      <c r="B256" s="49" t="s">
        <v>1271</v>
      </c>
      <c r="C256" s="49" t="str">
        <f t="shared" si="3"/>
        <v>48020-01_009</v>
      </c>
      <c r="D256" s="51">
        <v>2.581</v>
      </c>
      <c r="E256" s="51">
        <v>2.65</v>
      </c>
      <c r="F256" s="52">
        <v>2.66</v>
      </c>
    </row>
    <row r="257" spans="1:6" x14ac:dyDescent="0.35">
      <c r="A257" s="49" t="s">
        <v>1007</v>
      </c>
      <c r="B257" s="49" t="s">
        <v>1276</v>
      </c>
      <c r="C257" s="49" t="str">
        <f t="shared" si="3"/>
        <v>48020-01_010</v>
      </c>
      <c r="D257" s="51">
        <v>2.6790000000000003</v>
      </c>
      <c r="E257" s="51">
        <v>2.7130000000000001</v>
      </c>
      <c r="F257" s="52">
        <v>1.2749999999999999</v>
      </c>
    </row>
    <row r="258" spans="1:6" x14ac:dyDescent="0.35">
      <c r="A258" s="49" t="s">
        <v>1007</v>
      </c>
      <c r="B258" s="49" t="s">
        <v>1272</v>
      </c>
      <c r="C258" s="49" t="str">
        <f t="shared" si="3"/>
        <v>48020-01_057</v>
      </c>
      <c r="D258" s="51">
        <v>2.6120000000000001</v>
      </c>
      <c r="E258" s="51">
        <v>2.657</v>
      </c>
      <c r="F258" s="52">
        <v>1.72</v>
      </c>
    </row>
    <row r="259" spans="1:6" x14ac:dyDescent="0.35">
      <c r="A259" s="49" t="s">
        <v>1007</v>
      </c>
      <c r="B259" s="49" t="s">
        <v>1285</v>
      </c>
      <c r="C259" s="49" t="str">
        <f t="shared" ref="C259:C322" si="4">A259&amp;"_"&amp;B259</f>
        <v>48020-01_067</v>
      </c>
      <c r="D259" s="51">
        <v>2.6019999999999999</v>
      </c>
      <c r="E259" s="51">
        <v>2.6509999999999998</v>
      </c>
      <c r="F259" s="52">
        <v>1.87</v>
      </c>
    </row>
    <row r="260" spans="1:6" x14ac:dyDescent="0.35">
      <c r="A260" s="49" t="s">
        <v>1007</v>
      </c>
      <c r="B260" s="49" t="s">
        <v>1287</v>
      </c>
      <c r="C260" s="49" t="str">
        <f t="shared" si="4"/>
        <v>48020-01_RAL</v>
      </c>
      <c r="D260" s="51">
        <v>2.6850000000000001</v>
      </c>
      <c r="E260" s="51">
        <v>2.7250000000000001</v>
      </c>
      <c r="F260" s="52">
        <v>1.49</v>
      </c>
    </row>
    <row r="261" spans="1:6" x14ac:dyDescent="0.35">
      <c r="A261" s="49" t="s">
        <v>1007</v>
      </c>
      <c r="B261" s="49" t="s">
        <v>1295</v>
      </c>
      <c r="C261" s="49" t="str">
        <f t="shared" si="4"/>
        <v>48020-01_RBL</v>
      </c>
      <c r="D261" s="51">
        <v>2.6659999999999999</v>
      </c>
      <c r="E261" s="51">
        <v>2.7029999999999998</v>
      </c>
      <c r="F261" s="52">
        <v>1.4</v>
      </c>
    </row>
    <row r="262" spans="1:6" x14ac:dyDescent="0.35">
      <c r="A262" s="49" t="s">
        <v>1007</v>
      </c>
      <c r="B262" s="49" t="s">
        <v>1273</v>
      </c>
      <c r="C262" s="49" t="str">
        <f t="shared" si="4"/>
        <v>48020-01_SD5</v>
      </c>
      <c r="D262" s="51">
        <v>2.6793333333333336</v>
      </c>
      <c r="E262" s="51">
        <v>2.7206666666666663</v>
      </c>
      <c r="F262" s="52">
        <v>1.5466666666666666</v>
      </c>
    </row>
    <row r="263" spans="1:6" x14ac:dyDescent="0.35">
      <c r="A263" s="49" t="s">
        <v>554</v>
      </c>
      <c r="B263" s="49" t="s">
        <v>1279</v>
      </c>
      <c r="C263" s="49" t="str">
        <f t="shared" si="4"/>
        <v>42004A-01_004</v>
      </c>
      <c r="D263" s="51">
        <v>2.5946666666666669</v>
      </c>
      <c r="E263" s="51">
        <v>2.641</v>
      </c>
      <c r="F263" s="52">
        <v>1.7766666666666666</v>
      </c>
    </row>
    <row r="264" spans="1:6" x14ac:dyDescent="0.35">
      <c r="A264" s="49" t="s">
        <v>554</v>
      </c>
      <c r="B264" s="49" t="s">
        <v>1270</v>
      </c>
      <c r="C264" s="49" t="str">
        <f t="shared" si="4"/>
        <v>42004A-01_008</v>
      </c>
      <c r="D264" s="51">
        <v>2.5489999999999999</v>
      </c>
      <c r="E264" s="51">
        <v>2.6145</v>
      </c>
      <c r="F264" s="52">
        <v>2.5674999999999999</v>
      </c>
    </row>
    <row r="265" spans="1:6" x14ac:dyDescent="0.35">
      <c r="A265" s="49" t="s">
        <v>554</v>
      </c>
      <c r="B265" s="49" t="s">
        <v>1271</v>
      </c>
      <c r="C265" s="49" t="str">
        <f t="shared" si="4"/>
        <v>42004A-01_009</v>
      </c>
      <c r="D265" s="51">
        <v>2.5136666666666665</v>
      </c>
      <c r="E265" s="51">
        <v>2.5990000000000002</v>
      </c>
      <c r="F265" s="52">
        <v>3.3866666666666667</v>
      </c>
    </row>
    <row r="266" spans="1:6" x14ac:dyDescent="0.35">
      <c r="A266" s="49" t="s">
        <v>554</v>
      </c>
      <c r="B266" s="49" t="s">
        <v>1284</v>
      </c>
      <c r="C266" s="49" t="str">
        <f t="shared" si="4"/>
        <v>42004A-01_010M</v>
      </c>
      <c r="D266" s="51">
        <v>2.573</v>
      </c>
      <c r="E266" s="51">
        <v>2.6389999999999998</v>
      </c>
      <c r="F266" s="52">
        <v>2.57</v>
      </c>
    </row>
    <row r="267" spans="1:6" x14ac:dyDescent="0.35">
      <c r="A267" s="49" t="s">
        <v>554</v>
      </c>
      <c r="B267" s="49" t="s">
        <v>1272</v>
      </c>
      <c r="C267" s="49" t="str">
        <f t="shared" si="4"/>
        <v>42004A-01_057</v>
      </c>
      <c r="D267" s="51">
        <v>2.5535000000000001</v>
      </c>
      <c r="E267" s="51">
        <v>2.6125000000000003</v>
      </c>
      <c r="F267" s="52">
        <v>2.3174999999999999</v>
      </c>
    </row>
    <row r="268" spans="1:6" x14ac:dyDescent="0.35">
      <c r="A268" s="49" t="s">
        <v>554</v>
      </c>
      <c r="B268" s="49" t="s">
        <v>1273</v>
      </c>
      <c r="C268" s="49" t="str">
        <f t="shared" si="4"/>
        <v>42004A-01_SD5</v>
      </c>
      <c r="D268" s="51">
        <v>2.5683333333333334</v>
      </c>
      <c r="E268" s="51">
        <v>2.6360000000000001</v>
      </c>
      <c r="F268" s="52">
        <v>2.6266666666666665</v>
      </c>
    </row>
    <row r="269" spans="1:6" x14ac:dyDescent="0.35">
      <c r="A269" s="49" t="s">
        <v>461</v>
      </c>
      <c r="B269" s="49" t="s">
        <v>1279</v>
      </c>
      <c r="C269" s="49" t="str">
        <f t="shared" si="4"/>
        <v>41011-01_004</v>
      </c>
      <c r="D269" s="51">
        <v>2.609</v>
      </c>
      <c r="E269" s="51">
        <v>2.6560000000000001</v>
      </c>
      <c r="F269" s="52">
        <v>1.82</v>
      </c>
    </row>
    <row r="270" spans="1:6" x14ac:dyDescent="0.35">
      <c r="A270" s="49" t="s">
        <v>461</v>
      </c>
      <c r="B270" s="49" t="s">
        <v>1275</v>
      </c>
      <c r="C270" s="49" t="str">
        <f t="shared" si="4"/>
        <v>41011-01_004M</v>
      </c>
      <c r="D270" s="51">
        <v>2.5840000000000001</v>
      </c>
      <c r="E270" s="51">
        <v>2.637</v>
      </c>
      <c r="F270" s="52">
        <v>2.0549999999999997</v>
      </c>
    </row>
    <row r="271" spans="1:6" x14ac:dyDescent="0.35">
      <c r="A271" s="49" t="s">
        <v>461</v>
      </c>
      <c r="B271" s="49" t="s">
        <v>1280</v>
      </c>
      <c r="C271" s="49" t="str">
        <f t="shared" si="4"/>
        <v>41011-01_007M</v>
      </c>
      <c r="D271" s="51">
        <v>2.5819999999999999</v>
      </c>
      <c r="E271" s="51">
        <v>2.6425000000000001</v>
      </c>
      <c r="F271" s="52">
        <v>2.3200000000000003</v>
      </c>
    </row>
    <row r="272" spans="1:6" x14ac:dyDescent="0.35">
      <c r="A272" s="49" t="s">
        <v>461</v>
      </c>
      <c r="B272" s="49" t="s">
        <v>1270</v>
      </c>
      <c r="C272" s="49" t="str">
        <f t="shared" si="4"/>
        <v>41011-01_008</v>
      </c>
      <c r="D272" s="51">
        <v>2.5779999999999998</v>
      </c>
      <c r="E272" s="51">
        <v>2.6432500000000001</v>
      </c>
      <c r="F272" s="52">
        <v>2.5125000000000002</v>
      </c>
    </row>
    <row r="273" spans="1:6" x14ac:dyDescent="0.35">
      <c r="A273" s="49" t="s">
        <v>461</v>
      </c>
      <c r="B273" s="49" t="s">
        <v>1281</v>
      </c>
      <c r="C273" s="49" t="str">
        <f t="shared" si="4"/>
        <v>41011-01_009M</v>
      </c>
      <c r="D273" s="51">
        <v>2.5579999999999998</v>
      </c>
      <c r="E273" s="51">
        <v>2.6259999999999999</v>
      </c>
      <c r="F273" s="52">
        <v>2.6633333333333336</v>
      </c>
    </row>
    <row r="274" spans="1:6" x14ac:dyDescent="0.35">
      <c r="A274" s="49" t="s">
        <v>461</v>
      </c>
      <c r="B274" s="49" t="s">
        <v>1276</v>
      </c>
      <c r="C274" s="49" t="str">
        <f t="shared" si="4"/>
        <v>41011-01_010</v>
      </c>
      <c r="D274" s="51">
        <v>2.6756666666666669</v>
      </c>
      <c r="E274" s="51">
        <v>2.7189999999999999</v>
      </c>
      <c r="F274" s="52">
        <v>1.6266666666666667</v>
      </c>
    </row>
    <row r="275" spans="1:6" x14ac:dyDescent="0.35">
      <c r="A275" s="49" t="s">
        <v>461</v>
      </c>
      <c r="B275" s="49" t="s">
        <v>1272</v>
      </c>
      <c r="C275" s="49" t="str">
        <f t="shared" si="4"/>
        <v>41011-01_057</v>
      </c>
      <c r="D275" s="51">
        <v>2.5945999999999998</v>
      </c>
      <c r="E275" s="51">
        <v>2.6469999999999998</v>
      </c>
      <c r="F275" s="52">
        <v>2.028</v>
      </c>
    </row>
    <row r="276" spans="1:6" x14ac:dyDescent="0.35">
      <c r="A276" s="49" t="s">
        <v>461</v>
      </c>
      <c r="B276" s="49" t="s">
        <v>1285</v>
      </c>
      <c r="C276" s="49" t="str">
        <f t="shared" si="4"/>
        <v>41011-01_067</v>
      </c>
      <c r="D276" s="51">
        <v>2.6100000000000003</v>
      </c>
      <c r="E276" s="51">
        <v>2.6595</v>
      </c>
      <c r="F276" s="52">
        <v>1.9049999999999998</v>
      </c>
    </row>
    <row r="277" spans="1:6" x14ac:dyDescent="0.35">
      <c r="A277" s="49" t="s">
        <v>461</v>
      </c>
      <c r="B277" s="49" t="s">
        <v>1296</v>
      </c>
      <c r="C277" s="49" t="str">
        <f t="shared" si="4"/>
        <v>41011-01_089</v>
      </c>
      <c r="D277" s="51">
        <v>2.63</v>
      </c>
      <c r="E277" s="51">
        <v>2.6829999999999998</v>
      </c>
      <c r="F277" s="52">
        <v>2.0333333333333332</v>
      </c>
    </row>
    <row r="278" spans="1:6" x14ac:dyDescent="0.35">
      <c r="A278" s="49" t="s">
        <v>461</v>
      </c>
      <c r="B278" s="49" t="s">
        <v>1288</v>
      </c>
      <c r="C278" s="49" t="str">
        <f t="shared" si="4"/>
        <v>41011-01_603</v>
      </c>
      <c r="D278" s="51">
        <v>2.6760000000000002</v>
      </c>
      <c r="E278" s="51">
        <v>2.722</v>
      </c>
      <c r="F278" s="52">
        <v>1.72</v>
      </c>
    </row>
    <row r="279" spans="1:6" x14ac:dyDescent="0.35">
      <c r="A279" s="49" t="s">
        <v>461</v>
      </c>
      <c r="B279" s="49" t="s">
        <v>1273</v>
      </c>
      <c r="C279" s="49" t="str">
        <f t="shared" si="4"/>
        <v>41011-01_SD5</v>
      </c>
      <c r="D279" s="51">
        <v>2.6753333333333331</v>
      </c>
      <c r="E279" s="51">
        <v>2.7183333333333333</v>
      </c>
      <c r="F279" s="52">
        <v>1.5966666666666667</v>
      </c>
    </row>
    <row r="280" spans="1:6" x14ac:dyDescent="0.35">
      <c r="A280" s="49" t="s">
        <v>940</v>
      </c>
      <c r="B280" s="49" t="s">
        <v>1289</v>
      </c>
      <c r="C280" s="49" t="str">
        <f t="shared" si="4"/>
        <v>47076-01_008M</v>
      </c>
      <c r="D280" s="51">
        <v>2.6524000000000001</v>
      </c>
      <c r="E280" s="51">
        <v>2.6996000000000002</v>
      </c>
      <c r="F280" s="52">
        <v>1.7719999999999998</v>
      </c>
    </row>
    <row r="281" spans="1:6" x14ac:dyDescent="0.35">
      <c r="A281" s="49" t="s">
        <v>940</v>
      </c>
      <c r="B281" s="49" t="s">
        <v>1272</v>
      </c>
      <c r="C281" s="49" t="str">
        <f t="shared" si="4"/>
        <v>47076-01_057</v>
      </c>
      <c r="D281" s="51">
        <v>2.653</v>
      </c>
      <c r="E281" s="51">
        <v>2.6960000000000002</v>
      </c>
      <c r="F281" s="52">
        <v>1.6240000000000001</v>
      </c>
    </row>
    <row r="282" spans="1:6" x14ac:dyDescent="0.35">
      <c r="A282" s="49" t="s">
        <v>458</v>
      </c>
      <c r="B282" s="49" t="s">
        <v>1279</v>
      </c>
      <c r="C282" s="49" t="str">
        <f t="shared" si="4"/>
        <v>41010-01_004</v>
      </c>
      <c r="D282" s="51">
        <v>2.6920000000000002</v>
      </c>
      <c r="E282" s="51">
        <v>2.7196666666666669</v>
      </c>
      <c r="F282" s="52">
        <v>1.0266666666666666</v>
      </c>
    </row>
    <row r="283" spans="1:6" x14ac:dyDescent="0.35">
      <c r="A283" s="49" t="s">
        <v>458</v>
      </c>
      <c r="B283" s="49" t="s">
        <v>1270</v>
      </c>
      <c r="C283" s="49" t="str">
        <f t="shared" si="4"/>
        <v>41010-01_008</v>
      </c>
      <c r="D283" s="51">
        <v>2.6995999999999998</v>
      </c>
      <c r="E283" s="51">
        <v>2.7332000000000001</v>
      </c>
      <c r="F283" s="52">
        <v>1.2420000000000002</v>
      </c>
    </row>
    <row r="284" spans="1:6" x14ac:dyDescent="0.35">
      <c r="A284" s="49" t="s">
        <v>458</v>
      </c>
      <c r="B284" s="49" t="s">
        <v>1281</v>
      </c>
      <c r="C284" s="49" t="str">
        <f t="shared" si="4"/>
        <v>41010-01_009M</v>
      </c>
      <c r="D284" s="51">
        <v>2.6829999999999998</v>
      </c>
      <c r="E284" s="51">
        <v>2.7263333333333333</v>
      </c>
      <c r="F284" s="52">
        <v>1.6300000000000001</v>
      </c>
    </row>
    <row r="285" spans="1:6" x14ac:dyDescent="0.35">
      <c r="A285" s="49" t="s">
        <v>458</v>
      </c>
      <c r="B285" s="49" t="s">
        <v>1276</v>
      </c>
      <c r="C285" s="49" t="str">
        <f t="shared" si="4"/>
        <v>41010-01_010</v>
      </c>
      <c r="D285" s="51">
        <v>2.738666666666667</v>
      </c>
      <c r="E285" s="51">
        <v>2.7630000000000003</v>
      </c>
      <c r="F285" s="52">
        <v>0.9</v>
      </c>
    </row>
    <row r="286" spans="1:6" x14ac:dyDescent="0.35">
      <c r="A286" s="49" t="s">
        <v>458</v>
      </c>
      <c r="B286" s="49" t="s">
        <v>1272</v>
      </c>
      <c r="C286" s="49" t="str">
        <f t="shared" si="4"/>
        <v>41010-01_057</v>
      </c>
      <c r="D286" s="51">
        <v>2.6841666666666666</v>
      </c>
      <c r="E286" s="51">
        <v>2.7143333333333337</v>
      </c>
      <c r="F286" s="52">
        <v>1.1266666666666667</v>
      </c>
    </row>
    <row r="287" spans="1:6" x14ac:dyDescent="0.35">
      <c r="A287" s="49" t="s">
        <v>458</v>
      </c>
      <c r="B287" s="49" t="s">
        <v>1293</v>
      </c>
      <c r="C287" s="49" t="str">
        <f t="shared" si="4"/>
        <v>41010-01_411</v>
      </c>
      <c r="D287" s="51">
        <v>2.7117499999999999</v>
      </c>
      <c r="E287" s="51">
        <v>2.7432500000000002</v>
      </c>
      <c r="F287" s="52">
        <v>1.1575</v>
      </c>
    </row>
    <row r="288" spans="1:6" x14ac:dyDescent="0.35">
      <c r="A288" s="49" t="s">
        <v>458</v>
      </c>
      <c r="B288" s="49" t="s">
        <v>1288</v>
      </c>
      <c r="C288" s="49" t="str">
        <f t="shared" si="4"/>
        <v>41010-01_603</v>
      </c>
      <c r="D288" s="51">
        <v>2.7170000000000001</v>
      </c>
      <c r="E288" s="51">
        <v>2.75</v>
      </c>
      <c r="F288" s="52">
        <v>1.2</v>
      </c>
    </row>
    <row r="289" spans="1:6" x14ac:dyDescent="0.35">
      <c r="A289" s="49" t="s">
        <v>458</v>
      </c>
      <c r="B289" s="49" t="s">
        <v>1273</v>
      </c>
      <c r="C289" s="49" t="str">
        <f t="shared" si="4"/>
        <v>41010-01_SD5</v>
      </c>
      <c r="D289" s="51">
        <v>2.7395</v>
      </c>
      <c r="E289" s="51">
        <v>2.7635000000000001</v>
      </c>
      <c r="F289" s="52">
        <v>0.86499999999999999</v>
      </c>
    </row>
    <row r="290" spans="1:6" x14ac:dyDescent="0.35">
      <c r="A290" s="49" t="s">
        <v>1013</v>
      </c>
      <c r="B290" s="49" t="s">
        <v>1270</v>
      </c>
      <c r="C290" s="49" t="str">
        <f t="shared" si="4"/>
        <v>48033-01_008</v>
      </c>
      <c r="D290" s="51">
        <v>2.6779999999999999</v>
      </c>
      <c r="E290" s="51">
        <v>2.6970000000000001</v>
      </c>
      <c r="F290" s="52">
        <v>0.69</v>
      </c>
    </row>
    <row r="291" spans="1:6" x14ac:dyDescent="0.35">
      <c r="A291" s="49" t="s">
        <v>1013</v>
      </c>
      <c r="B291" s="49" t="s">
        <v>1272</v>
      </c>
      <c r="C291" s="49" t="str">
        <f t="shared" si="4"/>
        <v>48033-01_057</v>
      </c>
      <c r="D291" s="51">
        <v>2.6840000000000002</v>
      </c>
      <c r="E291" s="51">
        <v>2.7</v>
      </c>
      <c r="F291" s="52">
        <v>0.56999999999999995</v>
      </c>
    </row>
    <row r="292" spans="1:6" x14ac:dyDescent="0.35">
      <c r="A292" s="49" t="s">
        <v>1013</v>
      </c>
      <c r="B292" s="49" t="s">
        <v>1296</v>
      </c>
      <c r="C292" s="49" t="str">
        <f t="shared" si="4"/>
        <v>48033-01_089</v>
      </c>
      <c r="D292" s="51">
        <v>2.677</v>
      </c>
      <c r="E292" s="51">
        <v>2.6989999999999998</v>
      </c>
      <c r="F292" s="52">
        <v>0.79</v>
      </c>
    </row>
    <row r="293" spans="1:6" x14ac:dyDescent="0.35">
      <c r="A293" s="49" t="s">
        <v>1013</v>
      </c>
      <c r="B293" s="49" t="s">
        <v>1290</v>
      </c>
      <c r="C293" s="49" t="str">
        <f t="shared" si="4"/>
        <v>48033-01_SD5M</v>
      </c>
      <c r="D293" s="51">
        <v>2.6750000000000003</v>
      </c>
      <c r="E293" s="51">
        <v>2.6996666666666669</v>
      </c>
      <c r="F293" s="52">
        <v>0.91</v>
      </c>
    </row>
    <row r="294" spans="1:6" x14ac:dyDescent="0.35">
      <c r="A294" s="49" t="s">
        <v>999</v>
      </c>
      <c r="B294" s="49" t="s">
        <v>1289</v>
      </c>
      <c r="C294" s="49" t="str">
        <f t="shared" si="4"/>
        <v>48011-01_008M</v>
      </c>
      <c r="D294" s="51">
        <v>2.512</v>
      </c>
      <c r="E294" s="51">
        <v>2.5786666666666669</v>
      </c>
      <c r="F294" s="52">
        <v>2.6566666666666667</v>
      </c>
    </row>
    <row r="295" spans="1:6" x14ac:dyDescent="0.35">
      <c r="A295" s="49" t="s">
        <v>999</v>
      </c>
      <c r="B295" s="49" t="s">
        <v>1272</v>
      </c>
      <c r="C295" s="49" t="str">
        <f t="shared" si="4"/>
        <v>48011-01_057</v>
      </c>
      <c r="D295" s="51">
        <v>2.5289999999999999</v>
      </c>
      <c r="E295" s="51">
        <v>2.5866666666666664</v>
      </c>
      <c r="F295" s="52">
        <v>2.2766666666666668</v>
      </c>
    </row>
    <row r="296" spans="1:6" x14ac:dyDescent="0.35">
      <c r="A296" s="49" t="s">
        <v>999</v>
      </c>
      <c r="B296" s="49" t="s">
        <v>1274</v>
      </c>
      <c r="C296" s="49" t="str">
        <f t="shared" si="4"/>
        <v>48011-01_SD2</v>
      </c>
      <c r="D296" s="51">
        <v>2.5813333333333333</v>
      </c>
      <c r="E296" s="51">
        <v>2.6213333333333333</v>
      </c>
      <c r="F296" s="52">
        <v>1.53</v>
      </c>
    </row>
    <row r="297" spans="1:6" x14ac:dyDescent="0.35">
      <c r="A297" s="49" t="s">
        <v>936</v>
      </c>
      <c r="B297" s="49" t="s">
        <v>1272</v>
      </c>
      <c r="C297" s="49" t="str">
        <f t="shared" si="4"/>
        <v>47071-01_057</v>
      </c>
      <c r="D297" s="51">
        <v>2.649</v>
      </c>
      <c r="E297" s="51">
        <v>2.6720000000000002</v>
      </c>
      <c r="F297" s="52">
        <v>0.8666666666666667</v>
      </c>
    </row>
    <row r="298" spans="1:6" x14ac:dyDescent="0.35">
      <c r="A298" s="49" t="s">
        <v>948</v>
      </c>
      <c r="B298" s="49" t="s">
        <v>1270</v>
      </c>
      <c r="C298" s="49" t="str">
        <f t="shared" si="4"/>
        <v>47083-01_008</v>
      </c>
      <c r="D298" s="51">
        <v>2.6662499999999998</v>
      </c>
      <c r="E298" s="51">
        <v>2.6859999999999999</v>
      </c>
      <c r="F298" s="52">
        <v>0.73250000000000004</v>
      </c>
    </row>
    <row r="299" spans="1:6" x14ac:dyDescent="0.35">
      <c r="A299" s="49" t="s">
        <v>948</v>
      </c>
      <c r="B299" s="49" t="s">
        <v>1272</v>
      </c>
      <c r="C299" s="49" t="str">
        <f t="shared" si="4"/>
        <v>47083-01_057</v>
      </c>
      <c r="D299" s="51">
        <v>2.6757499999999999</v>
      </c>
      <c r="E299" s="51">
        <v>2.6929999999999996</v>
      </c>
      <c r="F299" s="52">
        <v>0.65249999999999997</v>
      </c>
    </row>
    <row r="300" spans="1:6" x14ac:dyDescent="0.35">
      <c r="A300" s="49" t="s">
        <v>886</v>
      </c>
      <c r="B300" s="49" t="s">
        <v>1270</v>
      </c>
      <c r="C300" s="49" t="str">
        <f t="shared" si="4"/>
        <v>47019-01_008</v>
      </c>
      <c r="D300" s="51">
        <v>2.57125</v>
      </c>
      <c r="E300" s="51">
        <v>2.6189999999999998</v>
      </c>
      <c r="F300" s="52">
        <v>1.8599999999999999</v>
      </c>
    </row>
    <row r="301" spans="1:6" x14ac:dyDescent="0.35">
      <c r="A301" s="49" t="s">
        <v>886</v>
      </c>
      <c r="B301" s="49" t="s">
        <v>1281</v>
      </c>
      <c r="C301" s="49" t="str">
        <f t="shared" si="4"/>
        <v>47019-01_009M</v>
      </c>
      <c r="D301" s="51">
        <v>2.5394999999999999</v>
      </c>
      <c r="E301" s="51">
        <v>2.593</v>
      </c>
      <c r="F301" s="52">
        <v>2.1150000000000002</v>
      </c>
    </row>
    <row r="302" spans="1:6" x14ac:dyDescent="0.35">
      <c r="A302" s="49" t="s">
        <v>886</v>
      </c>
      <c r="B302" s="49" t="s">
        <v>1272</v>
      </c>
      <c r="C302" s="49" t="str">
        <f t="shared" si="4"/>
        <v>47019-01_057</v>
      </c>
      <c r="D302" s="51">
        <v>2.5820000000000003</v>
      </c>
      <c r="E302" s="51">
        <v>2.6256666666666666</v>
      </c>
      <c r="F302" s="52">
        <v>1.68</v>
      </c>
    </row>
    <row r="303" spans="1:6" x14ac:dyDescent="0.35">
      <c r="A303" s="49" t="s">
        <v>886</v>
      </c>
      <c r="B303" s="49" t="s">
        <v>1274</v>
      </c>
      <c r="C303" s="49" t="str">
        <f t="shared" si="4"/>
        <v>47019-01_SD2</v>
      </c>
      <c r="D303" s="51">
        <v>2.6059999999999999</v>
      </c>
      <c r="E303" s="51">
        <v>2.6383333333333332</v>
      </c>
      <c r="F303" s="52">
        <v>1.2233333333333334</v>
      </c>
    </row>
    <row r="304" spans="1:6" x14ac:dyDescent="0.35">
      <c r="A304" s="49" t="s">
        <v>1050</v>
      </c>
      <c r="B304" s="49" t="s">
        <v>1274</v>
      </c>
      <c r="C304" s="49" t="str">
        <f t="shared" si="4"/>
        <v>49027-01_SD2</v>
      </c>
      <c r="D304" s="51">
        <v>2.5703333333333336</v>
      </c>
      <c r="E304" s="51">
        <v>2.6106666666666669</v>
      </c>
      <c r="F304" s="52">
        <v>1.5666666666666667</v>
      </c>
    </row>
    <row r="305" spans="1:6" x14ac:dyDescent="0.35">
      <c r="A305" s="49" t="s">
        <v>395</v>
      </c>
      <c r="B305" s="49" t="s">
        <v>1279</v>
      </c>
      <c r="C305" s="49" t="str">
        <f t="shared" si="4"/>
        <v>40002-01_004</v>
      </c>
      <c r="D305" s="51">
        <v>2.7309999999999999</v>
      </c>
      <c r="E305" s="51">
        <v>2.7530000000000001</v>
      </c>
      <c r="F305" s="52">
        <v>0.79</v>
      </c>
    </row>
    <row r="306" spans="1:6" x14ac:dyDescent="0.35">
      <c r="A306" s="49" t="s">
        <v>395</v>
      </c>
      <c r="B306" s="49" t="s">
        <v>1270</v>
      </c>
      <c r="C306" s="49" t="str">
        <f t="shared" si="4"/>
        <v>40002-01_008</v>
      </c>
      <c r="D306" s="51">
        <v>2.7145999999999999</v>
      </c>
      <c r="E306" s="51">
        <v>2.7405999999999997</v>
      </c>
      <c r="F306" s="52">
        <v>0.96599999999999997</v>
      </c>
    </row>
    <row r="307" spans="1:6" x14ac:dyDescent="0.35">
      <c r="A307" s="49" t="s">
        <v>395</v>
      </c>
      <c r="B307" s="49" t="s">
        <v>1272</v>
      </c>
      <c r="C307" s="49" t="str">
        <f t="shared" si="4"/>
        <v>40002-01_057</v>
      </c>
      <c r="D307" s="51">
        <v>2.7176666666666667</v>
      </c>
      <c r="E307" s="51">
        <v>2.7429999999999999</v>
      </c>
      <c r="F307" s="52">
        <v>0.92666666666666664</v>
      </c>
    </row>
    <row r="308" spans="1:6" x14ac:dyDescent="0.35">
      <c r="A308" s="49" t="s">
        <v>395</v>
      </c>
      <c r="B308" s="49" t="s">
        <v>1273</v>
      </c>
      <c r="C308" s="49" t="str">
        <f t="shared" si="4"/>
        <v>40002-01_SD5</v>
      </c>
      <c r="D308" s="51">
        <v>2.76</v>
      </c>
      <c r="E308" s="51">
        <v>2.7759999999999998</v>
      </c>
      <c r="F308" s="52">
        <v>0.56999999999999995</v>
      </c>
    </row>
    <row r="309" spans="1:6" x14ac:dyDescent="0.35">
      <c r="A309" s="49" t="s">
        <v>395</v>
      </c>
      <c r="B309" s="49" t="s">
        <v>1290</v>
      </c>
      <c r="C309" s="49" t="str">
        <f t="shared" si="4"/>
        <v>40002-01_SD5M</v>
      </c>
      <c r="D309" s="51">
        <v>2.7320000000000002</v>
      </c>
      <c r="E309" s="51">
        <v>2.7559999999999998</v>
      </c>
      <c r="F309" s="52">
        <v>0.88</v>
      </c>
    </row>
    <row r="310" spans="1:6" x14ac:dyDescent="0.35">
      <c r="A310" s="49" t="s">
        <v>640</v>
      </c>
      <c r="B310" s="49" t="s">
        <v>1270</v>
      </c>
      <c r="C310" s="49" t="str">
        <f t="shared" si="4"/>
        <v>43063-01_008</v>
      </c>
      <c r="D310" s="51">
        <v>2.4039999999999999</v>
      </c>
      <c r="E310" s="51">
        <v>2.4700000000000002</v>
      </c>
      <c r="F310" s="52">
        <v>2.73</v>
      </c>
    </row>
    <row r="311" spans="1:6" x14ac:dyDescent="0.35">
      <c r="A311" s="49" t="s">
        <v>640</v>
      </c>
      <c r="B311" s="49" t="s">
        <v>1272</v>
      </c>
      <c r="C311" s="49" t="str">
        <f t="shared" si="4"/>
        <v>43063-01_057</v>
      </c>
      <c r="D311" s="51">
        <v>2.3519999999999999</v>
      </c>
      <c r="E311" s="51">
        <v>2.4089999999999998</v>
      </c>
      <c r="F311" s="52">
        <v>2.41</v>
      </c>
    </row>
    <row r="312" spans="1:6" x14ac:dyDescent="0.35">
      <c r="A312" s="49" t="s">
        <v>640</v>
      </c>
      <c r="B312" s="49" t="s">
        <v>1290</v>
      </c>
      <c r="C312" s="49" t="str">
        <f t="shared" si="4"/>
        <v>43063-01_SD5M</v>
      </c>
      <c r="D312" s="51">
        <v>2.7349999999999999</v>
      </c>
      <c r="E312" s="51">
        <v>2.7690000000000001</v>
      </c>
      <c r="F312" s="52">
        <v>1.24</v>
      </c>
    </row>
    <row r="313" spans="1:6" x14ac:dyDescent="0.35">
      <c r="A313" s="49" t="s">
        <v>1124</v>
      </c>
      <c r="B313" s="49" t="s">
        <v>1270</v>
      </c>
      <c r="C313" s="49" t="str">
        <f t="shared" si="4"/>
        <v>50017-01_008</v>
      </c>
      <c r="D313" s="51">
        <v>2.5430000000000001</v>
      </c>
      <c r="E313" s="51">
        <v>2.5960000000000001</v>
      </c>
      <c r="F313" s="52">
        <v>2.0750000000000002</v>
      </c>
    </row>
    <row r="314" spans="1:6" x14ac:dyDescent="0.35">
      <c r="A314" s="49" t="s">
        <v>1124</v>
      </c>
      <c r="B314" s="49" t="s">
        <v>1272</v>
      </c>
      <c r="C314" s="49" t="str">
        <f t="shared" si="4"/>
        <v>50017-01_057</v>
      </c>
      <c r="D314" s="51">
        <v>2.57</v>
      </c>
      <c r="E314" s="51">
        <v>2.6145</v>
      </c>
      <c r="F314" s="52">
        <v>1.7450000000000001</v>
      </c>
    </row>
    <row r="315" spans="1:6" x14ac:dyDescent="0.35">
      <c r="A315" s="49" t="s">
        <v>1124</v>
      </c>
      <c r="B315" s="49" t="s">
        <v>1274</v>
      </c>
      <c r="C315" s="49" t="str">
        <f t="shared" si="4"/>
        <v>50017-01_SD2</v>
      </c>
      <c r="D315" s="51">
        <v>2.58</v>
      </c>
      <c r="E315" s="51">
        <v>2.6204999999999998</v>
      </c>
      <c r="F315" s="52">
        <v>1.56</v>
      </c>
    </row>
    <row r="316" spans="1:6" x14ac:dyDescent="0.35">
      <c r="A316" s="49" t="s">
        <v>1126</v>
      </c>
      <c r="B316" s="49" t="s">
        <v>1274</v>
      </c>
      <c r="C316" s="49" t="str">
        <f t="shared" si="4"/>
        <v>50017C-01_SD2</v>
      </c>
      <c r="D316" s="51">
        <v>2.5927999999999995</v>
      </c>
      <c r="E316" s="51">
        <v>2.6337999999999999</v>
      </c>
      <c r="F316" s="52">
        <v>1.5580000000000001</v>
      </c>
    </row>
    <row r="317" spans="1:6" x14ac:dyDescent="0.35">
      <c r="A317" s="49" t="s">
        <v>1136</v>
      </c>
      <c r="B317" s="49" t="s">
        <v>1274</v>
      </c>
      <c r="C317" s="49" t="str">
        <f t="shared" si="4"/>
        <v>50057-01_SD2</v>
      </c>
      <c r="D317" s="51">
        <v>2.577</v>
      </c>
      <c r="E317" s="51">
        <v>2.6239999999999997</v>
      </c>
      <c r="F317" s="52">
        <v>1.7850000000000001</v>
      </c>
    </row>
    <row r="318" spans="1:6" x14ac:dyDescent="0.35">
      <c r="A318" s="49" t="s">
        <v>1136</v>
      </c>
      <c r="B318" s="49" t="s">
        <v>1290</v>
      </c>
      <c r="C318" s="49" t="str">
        <f t="shared" si="4"/>
        <v>50057-01_SD5M</v>
      </c>
      <c r="D318" s="51">
        <v>2.6025999999999998</v>
      </c>
      <c r="E318" s="51">
        <v>2.6406000000000001</v>
      </c>
      <c r="F318" s="52">
        <v>1.458</v>
      </c>
    </row>
    <row r="319" spans="1:6" x14ac:dyDescent="0.35">
      <c r="A319" s="49" t="s">
        <v>1138</v>
      </c>
      <c r="B319" s="49" t="s">
        <v>1289</v>
      </c>
      <c r="C319" s="49" t="str">
        <f t="shared" si="4"/>
        <v>50057C-01_008M</v>
      </c>
      <c r="D319" s="51">
        <v>2.5169999999999999</v>
      </c>
      <c r="E319" s="51">
        <v>2.5884999999999998</v>
      </c>
      <c r="F319" s="52">
        <v>2.81</v>
      </c>
    </row>
    <row r="320" spans="1:6" x14ac:dyDescent="0.35">
      <c r="A320" s="49" t="s">
        <v>1138</v>
      </c>
      <c r="B320" s="49" t="s">
        <v>1270</v>
      </c>
      <c r="C320" s="49" t="str">
        <f t="shared" si="4"/>
        <v>50057C-01_008</v>
      </c>
      <c r="D320" s="51">
        <v>2.5341999999999993</v>
      </c>
      <c r="E320" s="51">
        <v>2.5922000000000001</v>
      </c>
      <c r="F320" s="52">
        <v>2.2779999999999996</v>
      </c>
    </row>
    <row r="321" spans="1:6" x14ac:dyDescent="0.35">
      <c r="A321" s="49" t="s">
        <v>1138</v>
      </c>
      <c r="B321" s="49" t="s">
        <v>1272</v>
      </c>
      <c r="C321" s="49" t="str">
        <f t="shared" si="4"/>
        <v>50057C-01_057</v>
      </c>
      <c r="D321" s="51">
        <v>2.5640000000000001</v>
      </c>
      <c r="E321" s="51">
        <v>2.613</v>
      </c>
      <c r="F321" s="52">
        <v>1.9100000000000001</v>
      </c>
    </row>
    <row r="322" spans="1:6" x14ac:dyDescent="0.35">
      <c r="A322" s="49" t="s">
        <v>1138</v>
      </c>
      <c r="B322" s="49" t="s">
        <v>1273</v>
      </c>
      <c r="C322" s="49" t="str">
        <f t="shared" si="4"/>
        <v>50057C-01_SD5</v>
      </c>
      <c r="D322" s="51">
        <v>2.5642</v>
      </c>
      <c r="E322" s="51">
        <v>2.6157999999999997</v>
      </c>
      <c r="F322" s="52">
        <v>2.0019999999999998</v>
      </c>
    </row>
    <row r="323" spans="1:6" x14ac:dyDescent="0.35">
      <c r="A323" s="49" t="s">
        <v>606</v>
      </c>
      <c r="B323" s="49" t="s">
        <v>1274</v>
      </c>
      <c r="C323" s="49" t="str">
        <f t="shared" ref="C323:C386" si="5">A323&amp;"_"&amp;B323</f>
        <v>43015-01_SD2</v>
      </c>
      <c r="D323" s="51">
        <v>2.6135000000000002</v>
      </c>
      <c r="E323" s="51">
        <v>2.6334999999999997</v>
      </c>
      <c r="F323" s="52">
        <v>0.755</v>
      </c>
    </row>
    <row r="324" spans="1:6" x14ac:dyDescent="0.35">
      <c r="A324" s="49" t="s">
        <v>965</v>
      </c>
      <c r="B324" s="49" t="s">
        <v>1289</v>
      </c>
      <c r="C324" s="49" t="str">
        <f t="shared" si="5"/>
        <v>47092-01_008M</v>
      </c>
      <c r="D324" s="51">
        <v>2.6074999999999999</v>
      </c>
      <c r="E324" s="51">
        <v>2.6579999999999999</v>
      </c>
      <c r="F324" s="52">
        <v>1.9249999999999998</v>
      </c>
    </row>
    <row r="325" spans="1:6" x14ac:dyDescent="0.35">
      <c r="A325" s="49" t="s">
        <v>965</v>
      </c>
      <c r="B325" s="49" t="s">
        <v>1272</v>
      </c>
      <c r="C325" s="49" t="str">
        <f t="shared" si="5"/>
        <v>47092-01_057</v>
      </c>
      <c r="D325" s="51">
        <v>2.6016666666666666</v>
      </c>
      <c r="E325" s="51">
        <v>2.6513333333333331</v>
      </c>
      <c r="F325" s="52">
        <v>1.9000000000000001</v>
      </c>
    </row>
    <row r="326" spans="1:6" x14ac:dyDescent="0.35">
      <c r="A326" s="49" t="s">
        <v>965</v>
      </c>
      <c r="B326" s="49" t="s">
        <v>1297</v>
      </c>
      <c r="C326" s="49" t="str">
        <f t="shared" si="5"/>
        <v>47092-01_057M</v>
      </c>
      <c r="D326" s="51">
        <v>2.6080000000000001</v>
      </c>
      <c r="E326" s="51">
        <v>2.6549999999999998</v>
      </c>
      <c r="F326" s="52">
        <v>1.81</v>
      </c>
    </row>
    <row r="327" spans="1:6" x14ac:dyDescent="0.35">
      <c r="A327" s="49" t="s">
        <v>965</v>
      </c>
      <c r="B327" s="49" t="s">
        <v>1274</v>
      </c>
      <c r="C327" s="49" t="str">
        <f t="shared" si="5"/>
        <v>47092-01_SD2</v>
      </c>
      <c r="D327" s="51">
        <v>2.617</v>
      </c>
      <c r="E327" s="51">
        <v>2.6577500000000001</v>
      </c>
      <c r="F327" s="52">
        <v>1.5449999999999999</v>
      </c>
    </row>
    <row r="328" spans="1:6" x14ac:dyDescent="0.35">
      <c r="A328" s="49" t="s">
        <v>932</v>
      </c>
      <c r="B328" s="49" t="s">
        <v>1289</v>
      </c>
      <c r="C328" s="49" t="str">
        <f t="shared" si="5"/>
        <v>47050-01_008M</v>
      </c>
      <c r="D328" s="51">
        <v>2.6327499999999997</v>
      </c>
      <c r="E328" s="51">
        <v>2.6735000000000002</v>
      </c>
      <c r="F328" s="52">
        <v>1.5574999999999999</v>
      </c>
    </row>
    <row r="329" spans="1:6" x14ac:dyDescent="0.35">
      <c r="A329" s="49" t="s">
        <v>932</v>
      </c>
      <c r="B329" s="49" t="s">
        <v>1272</v>
      </c>
      <c r="C329" s="49" t="str">
        <f t="shared" si="5"/>
        <v>47050-01_057</v>
      </c>
      <c r="D329" s="51">
        <v>2.6343333333333336</v>
      </c>
      <c r="E329" s="51">
        <v>2.6726666666666667</v>
      </c>
      <c r="F329" s="52">
        <v>1.4466666666666665</v>
      </c>
    </row>
    <row r="330" spans="1:6" x14ac:dyDescent="0.35">
      <c r="A330" s="49" t="s">
        <v>932</v>
      </c>
      <c r="B330" s="49" t="s">
        <v>1297</v>
      </c>
      <c r="C330" s="49" t="str">
        <f t="shared" si="5"/>
        <v>47050-01_057M</v>
      </c>
      <c r="D330" s="51">
        <v>2.6389999999999998</v>
      </c>
      <c r="E330" s="51">
        <v>2.6739999999999999</v>
      </c>
      <c r="F330" s="52">
        <v>1.34</v>
      </c>
    </row>
    <row r="331" spans="1:6" x14ac:dyDescent="0.35">
      <c r="A331" s="49" t="s">
        <v>932</v>
      </c>
      <c r="B331" s="49" t="s">
        <v>1274</v>
      </c>
      <c r="C331" s="49" t="str">
        <f t="shared" si="5"/>
        <v>47050-01_SD2</v>
      </c>
      <c r="D331" s="51">
        <v>2.621</v>
      </c>
      <c r="E331" s="51">
        <v>2.657</v>
      </c>
      <c r="F331" s="52">
        <v>1.365</v>
      </c>
    </row>
    <row r="332" spans="1:6" x14ac:dyDescent="0.35">
      <c r="A332" s="49" t="s">
        <v>1071</v>
      </c>
      <c r="B332" s="49" t="s">
        <v>1270</v>
      </c>
      <c r="C332" s="49" t="str">
        <f t="shared" si="5"/>
        <v>49053-01_008</v>
      </c>
      <c r="D332" s="51">
        <v>2.5225</v>
      </c>
      <c r="E332" s="51">
        <v>2.5815000000000001</v>
      </c>
      <c r="F332" s="52">
        <v>2.35</v>
      </c>
    </row>
    <row r="333" spans="1:6" x14ac:dyDescent="0.35">
      <c r="A333" s="49" t="s">
        <v>1071</v>
      </c>
      <c r="B333" s="49" t="s">
        <v>1272</v>
      </c>
      <c r="C333" s="49" t="str">
        <f t="shared" si="5"/>
        <v>49053-01_057</v>
      </c>
      <c r="D333" s="51">
        <v>2.5150000000000001</v>
      </c>
      <c r="E333" s="51">
        <v>2.5724999999999998</v>
      </c>
      <c r="F333" s="52">
        <v>2.2949999999999999</v>
      </c>
    </row>
    <row r="334" spans="1:6" x14ac:dyDescent="0.35">
      <c r="A334" s="49" t="s">
        <v>1071</v>
      </c>
      <c r="B334" s="49" t="s">
        <v>1274</v>
      </c>
      <c r="C334" s="49" t="str">
        <f t="shared" si="5"/>
        <v>49053-01_SD2</v>
      </c>
      <c r="D334" s="51">
        <v>2.5795000000000003</v>
      </c>
      <c r="E334" s="51">
        <v>2.6154999999999999</v>
      </c>
      <c r="F334" s="52">
        <v>1.395</v>
      </c>
    </row>
    <row r="335" spans="1:6" x14ac:dyDescent="0.35">
      <c r="A335" s="49" t="s">
        <v>1122</v>
      </c>
      <c r="B335" s="49" t="s">
        <v>1279</v>
      </c>
      <c r="C335" s="49" t="str">
        <f t="shared" si="5"/>
        <v>50016-01_004</v>
      </c>
      <c r="D335" s="51">
        <v>2.61</v>
      </c>
      <c r="E335" s="51">
        <v>2.64</v>
      </c>
      <c r="F335" s="52">
        <v>1.145</v>
      </c>
    </row>
    <row r="336" spans="1:6" x14ac:dyDescent="0.35">
      <c r="A336" s="49" t="s">
        <v>1122</v>
      </c>
      <c r="B336" s="49" t="s">
        <v>1270</v>
      </c>
      <c r="C336" s="49" t="str">
        <f t="shared" si="5"/>
        <v>50016-01_008</v>
      </c>
      <c r="D336" s="51">
        <v>2.5960000000000001</v>
      </c>
      <c r="E336" s="51">
        <v>2.6315</v>
      </c>
      <c r="F336" s="52">
        <v>1.35</v>
      </c>
    </row>
    <row r="337" spans="1:6" x14ac:dyDescent="0.35">
      <c r="A337" s="49" t="s">
        <v>1122</v>
      </c>
      <c r="B337" s="49" t="s">
        <v>1272</v>
      </c>
      <c r="C337" s="49" t="str">
        <f t="shared" si="5"/>
        <v>50016-01_057</v>
      </c>
      <c r="D337" s="51">
        <v>2.5990000000000002</v>
      </c>
      <c r="E337" s="51">
        <v>2.633</v>
      </c>
      <c r="F337" s="52">
        <v>1.3049999999999999</v>
      </c>
    </row>
    <row r="338" spans="1:6" x14ac:dyDescent="0.35">
      <c r="A338" s="49" t="s">
        <v>426</v>
      </c>
      <c r="B338" s="49" t="s">
        <v>1274</v>
      </c>
      <c r="C338" s="49" t="str">
        <f t="shared" si="5"/>
        <v>40023-01_SD2</v>
      </c>
      <c r="D338" s="51">
        <v>2.58325</v>
      </c>
      <c r="E338" s="51">
        <v>2.6352500000000001</v>
      </c>
      <c r="F338" s="52">
        <v>2.0175000000000001</v>
      </c>
    </row>
    <row r="339" spans="1:6" x14ac:dyDescent="0.35">
      <c r="A339" s="49" t="s">
        <v>426</v>
      </c>
      <c r="B339" s="49" t="s">
        <v>1273</v>
      </c>
      <c r="C339" s="49" t="str">
        <f t="shared" si="5"/>
        <v>40023-01_SD5</v>
      </c>
      <c r="D339" s="51">
        <v>2.5920000000000001</v>
      </c>
      <c r="E339" s="51">
        <v>2.641</v>
      </c>
      <c r="F339" s="52">
        <v>1.87</v>
      </c>
    </row>
    <row r="340" spans="1:6" x14ac:dyDescent="0.35">
      <c r="A340" s="49" t="s">
        <v>428</v>
      </c>
      <c r="B340" s="49" t="s">
        <v>1274</v>
      </c>
      <c r="C340" s="49" t="str">
        <f t="shared" si="5"/>
        <v>40023B-01_SD2</v>
      </c>
      <c r="D340" s="51">
        <v>2.5369999999999999</v>
      </c>
      <c r="E340" s="51">
        <v>2.5910000000000002</v>
      </c>
      <c r="F340" s="52">
        <v>2.14</v>
      </c>
    </row>
    <row r="341" spans="1:6" x14ac:dyDescent="0.35">
      <c r="A341" s="49" t="s">
        <v>428</v>
      </c>
      <c r="B341" s="49" t="s">
        <v>1273</v>
      </c>
      <c r="C341" s="49" t="str">
        <f t="shared" si="5"/>
        <v>40023B-01_SD5</v>
      </c>
      <c r="D341" s="51">
        <v>2.5343333333333331</v>
      </c>
      <c r="E341" s="51">
        <v>2.5953333333333339</v>
      </c>
      <c r="F341" s="52">
        <v>2.3866666666666663</v>
      </c>
    </row>
    <row r="342" spans="1:6" x14ac:dyDescent="0.35">
      <c r="A342" s="49" t="s">
        <v>1199</v>
      </c>
      <c r="B342" s="49" t="s">
        <v>1270</v>
      </c>
      <c r="C342" s="49" t="str">
        <f t="shared" si="5"/>
        <v>51014-01_008</v>
      </c>
      <c r="D342" s="51">
        <v>2.7913333333333328</v>
      </c>
      <c r="E342" s="51">
        <v>2.8030000000000004</v>
      </c>
      <c r="F342" s="52">
        <v>0.41333333333333333</v>
      </c>
    </row>
    <row r="343" spans="1:6" x14ac:dyDescent="0.35">
      <c r="A343" s="49" t="s">
        <v>1199</v>
      </c>
      <c r="B343" s="49" t="s">
        <v>1272</v>
      </c>
      <c r="C343" s="49" t="str">
        <f t="shared" si="5"/>
        <v>51014-01_057</v>
      </c>
      <c r="D343" s="51">
        <v>2.7976666666666667</v>
      </c>
      <c r="E343" s="51">
        <v>2.8066666666666666</v>
      </c>
      <c r="F343" s="52">
        <v>0.33333333333333331</v>
      </c>
    </row>
    <row r="344" spans="1:6" x14ac:dyDescent="0.35">
      <c r="A344" s="49" t="s">
        <v>1199</v>
      </c>
      <c r="B344" s="49" t="s">
        <v>1273</v>
      </c>
      <c r="C344" s="49" t="str">
        <f t="shared" si="5"/>
        <v>51014-01_SD5</v>
      </c>
      <c r="D344" s="51">
        <v>2.7882000000000002</v>
      </c>
      <c r="E344" s="51">
        <v>2.8024</v>
      </c>
      <c r="F344" s="52">
        <v>0.50600000000000001</v>
      </c>
    </row>
    <row r="345" spans="1:6" x14ac:dyDescent="0.35">
      <c r="A345" s="49" t="s">
        <v>447</v>
      </c>
      <c r="B345" s="49" t="s">
        <v>1275</v>
      </c>
      <c r="C345" s="49" t="str">
        <f t="shared" si="5"/>
        <v>41005-01_004M</v>
      </c>
      <c r="D345" s="51">
        <v>2.5143333333333331</v>
      </c>
      <c r="E345" s="51">
        <v>2.5763333333333334</v>
      </c>
      <c r="F345" s="52">
        <v>2.48</v>
      </c>
    </row>
    <row r="346" spans="1:6" x14ac:dyDescent="0.35">
      <c r="A346" s="49" t="s">
        <v>447</v>
      </c>
      <c r="B346" s="49" t="s">
        <v>1270</v>
      </c>
      <c r="C346" s="49" t="str">
        <f t="shared" si="5"/>
        <v>41005-01_008</v>
      </c>
      <c r="D346" s="51">
        <v>2.4452500000000001</v>
      </c>
      <c r="E346" s="51">
        <v>2.5474999999999999</v>
      </c>
      <c r="F346" s="52">
        <v>4.1675000000000004</v>
      </c>
    </row>
    <row r="347" spans="1:6" x14ac:dyDescent="0.35">
      <c r="A347" s="49" t="s">
        <v>447</v>
      </c>
      <c r="B347" s="49" t="s">
        <v>1284</v>
      </c>
      <c r="C347" s="49" t="str">
        <f t="shared" si="5"/>
        <v>41005-01_010M</v>
      </c>
      <c r="D347" s="51">
        <v>2.5270000000000001</v>
      </c>
      <c r="E347" s="51">
        <v>2.613</v>
      </c>
      <c r="F347" s="52">
        <v>3.3850000000000002</v>
      </c>
    </row>
    <row r="348" spans="1:6" x14ac:dyDescent="0.35">
      <c r="A348" s="49" t="s">
        <v>447</v>
      </c>
      <c r="B348" s="49" t="s">
        <v>1272</v>
      </c>
      <c r="C348" s="49" t="str">
        <f t="shared" si="5"/>
        <v>41005-01_057</v>
      </c>
      <c r="D348" s="51">
        <v>2.4697500000000003</v>
      </c>
      <c r="E348" s="51">
        <v>2.54975</v>
      </c>
      <c r="F348" s="52">
        <v>3.2524999999999999</v>
      </c>
    </row>
    <row r="349" spans="1:6" x14ac:dyDescent="0.35">
      <c r="A349" s="49" t="s">
        <v>447</v>
      </c>
      <c r="B349" s="49" t="s">
        <v>1290</v>
      </c>
      <c r="C349" s="49" t="str">
        <f t="shared" si="5"/>
        <v>41005-01_SD5M</v>
      </c>
      <c r="D349" s="51">
        <v>2.5294999999999996</v>
      </c>
      <c r="E349" s="51">
        <v>2.6127500000000001</v>
      </c>
      <c r="F349" s="52">
        <v>3.2649999999999997</v>
      </c>
    </row>
    <row r="350" spans="1:6" x14ac:dyDescent="0.35">
      <c r="A350" s="49" t="s">
        <v>1191</v>
      </c>
      <c r="B350" s="49" t="s">
        <v>1272</v>
      </c>
      <c r="C350" s="49" t="str">
        <f t="shared" si="5"/>
        <v>51009-01_057</v>
      </c>
      <c r="D350" s="51">
        <v>2.5663333333333331</v>
      </c>
      <c r="E350" s="51">
        <v>2.6003333333333334</v>
      </c>
      <c r="F350" s="52">
        <v>1.3133333333333332</v>
      </c>
    </row>
    <row r="351" spans="1:6" x14ac:dyDescent="0.35">
      <c r="A351" s="49" t="s">
        <v>610</v>
      </c>
      <c r="B351" s="49" t="s">
        <v>1270</v>
      </c>
      <c r="C351" s="49" t="str">
        <f t="shared" si="5"/>
        <v>43019-01_008</v>
      </c>
      <c r="D351" s="51">
        <v>2.4966666666666666</v>
      </c>
      <c r="E351" s="51">
        <v>2.5576666666666665</v>
      </c>
      <c r="F351" s="52">
        <v>2.44</v>
      </c>
    </row>
    <row r="352" spans="1:6" x14ac:dyDescent="0.35">
      <c r="A352" s="49" t="s">
        <v>610</v>
      </c>
      <c r="B352" s="49" t="s">
        <v>1272</v>
      </c>
      <c r="C352" s="49" t="str">
        <f t="shared" si="5"/>
        <v>43019-01_057</v>
      </c>
      <c r="D352" s="51">
        <v>2.4803333333333337</v>
      </c>
      <c r="E352" s="51">
        <v>2.5433333333333334</v>
      </c>
      <c r="F352" s="52">
        <v>2.5266666666666668</v>
      </c>
    </row>
    <row r="353" spans="1:6" x14ac:dyDescent="0.35">
      <c r="A353" s="49" t="s">
        <v>610</v>
      </c>
      <c r="B353" s="49" t="s">
        <v>1274</v>
      </c>
      <c r="C353" s="49" t="str">
        <f t="shared" si="5"/>
        <v>43019-01_SD2</v>
      </c>
      <c r="D353" s="51">
        <v>2.5690000000000004</v>
      </c>
      <c r="E353" s="51">
        <v>2.6020000000000003</v>
      </c>
      <c r="F353" s="52">
        <v>1.2774999999999999</v>
      </c>
    </row>
    <row r="354" spans="1:6" x14ac:dyDescent="0.35">
      <c r="A354" s="49" t="s">
        <v>610</v>
      </c>
      <c r="B354" s="49" t="s">
        <v>1273</v>
      </c>
      <c r="C354" s="49" t="str">
        <f t="shared" si="5"/>
        <v>43019-01_SD5</v>
      </c>
      <c r="D354" s="51">
        <v>2.58</v>
      </c>
      <c r="E354" s="51">
        <v>2.61</v>
      </c>
      <c r="F354" s="52">
        <v>1.18</v>
      </c>
    </row>
    <row r="355" spans="1:6" x14ac:dyDescent="0.35">
      <c r="A355" s="49" t="s">
        <v>612</v>
      </c>
      <c r="B355" s="49" t="s">
        <v>1270</v>
      </c>
      <c r="C355" s="49" t="str">
        <f t="shared" si="5"/>
        <v>43020-01_008</v>
      </c>
      <c r="D355" s="51">
        <v>2.5369999999999995</v>
      </c>
      <c r="E355" s="51">
        <v>2.5903333333333336</v>
      </c>
      <c r="F355" s="52">
        <v>2.1233333333333331</v>
      </c>
    </row>
    <row r="356" spans="1:6" x14ac:dyDescent="0.35">
      <c r="A356" s="49" t="s">
        <v>612</v>
      </c>
      <c r="B356" s="49" t="s">
        <v>1271</v>
      </c>
      <c r="C356" s="49" t="str">
        <f t="shared" si="5"/>
        <v>43020-01_009</v>
      </c>
      <c r="D356" s="51">
        <v>2.5186666666666664</v>
      </c>
      <c r="E356" s="51">
        <v>2.5813333333333337</v>
      </c>
      <c r="F356" s="52">
        <v>2.48</v>
      </c>
    </row>
    <row r="357" spans="1:6" x14ac:dyDescent="0.35">
      <c r="A357" s="49" t="s">
        <v>612</v>
      </c>
      <c r="B357" s="49" t="s">
        <v>1272</v>
      </c>
      <c r="C357" s="49" t="str">
        <f t="shared" si="5"/>
        <v>43020-01_057</v>
      </c>
      <c r="D357" s="51">
        <v>2.5046666666666666</v>
      </c>
      <c r="E357" s="51">
        <v>2.5683333333333334</v>
      </c>
      <c r="F357" s="52">
        <v>2.5266666666666668</v>
      </c>
    </row>
    <row r="358" spans="1:6" x14ac:dyDescent="0.35">
      <c r="A358" s="49" t="s">
        <v>612</v>
      </c>
      <c r="B358" s="49" t="s">
        <v>1274</v>
      </c>
      <c r="C358" s="49" t="str">
        <f t="shared" si="5"/>
        <v>43020-01_SD2</v>
      </c>
      <c r="D358" s="51">
        <v>2.6016666666666666</v>
      </c>
      <c r="E358" s="51">
        <v>2.6276666666666664</v>
      </c>
      <c r="F358" s="52">
        <v>1</v>
      </c>
    </row>
    <row r="359" spans="1:6" x14ac:dyDescent="0.35">
      <c r="A359" s="49" t="s">
        <v>612</v>
      </c>
      <c r="B359" s="49" t="s">
        <v>1273</v>
      </c>
      <c r="C359" s="49" t="str">
        <f t="shared" si="5"/>
        <v>43020-01_SD5</v>
      </c>
      <c r="D359" s="51">
        <v>2.6175000000000002</v>
      </c>
      <c r="E359" s="51">
        <v>2.6385000000000001</v>
      </c>
      <c r="F359" s="52">
        <v>0.8</v>
      </c>
    </row>
    <row r="360" spans="1:6" x14ac:dyDescent="0.35">
      <c r="A360" s="49" t="s">
        <v>612</v>
      </c>
      <c r="B360" s="49" t="s">
        <v>1298</v>
      </c>
      <c r="C360" s="49" t="str">
        <f t="shared" si="5"/>
        <v>43020-01_SD23</v>
      </c>
      <c r="D360" s="51">
        <v>2.6179999999999999</v>
      </c>
      <c r="E360" s="51">
        <v>2.6339999999999999</v>
      </c>
      <c r="F360" s="52">
        <v>0.63</v>
      </c>
    </row>
    <row r="361" spans="1:6" x14ac:dyDescent="0.35">
      <c r="A361" s="49" t="s">
        <v>1003</v>
      </c>
      <c r="B361" s="49" t="s">
        <v>1279</v>
      </c>
      <c r="C361" s="49" t="str">
        <f t="shared" si="5"/>
        <v>48018-01_004</v>
      </c>
      <c r="D361" s="51">
        <v>2.6579999999999999</v>
      </c>
      <c r="E361" s="51">
        <v>2.6909999999999998</v>
      </c>
      <c r="F361" s="52">
        <v>1.25</v>
      </c>
    </row>
    <row r="362" spans="1:6" x14ac:dyDescent="0.35">
      <c r="A362" s="49" t="s">
        <v>1003</v>
      </c>
      <c r="B362" s="49" t="s">
        <v>1270</v>
      </c>
      <c r="C362" s="49" t="str">
        <f t="shared" si="5"/>
        <v>48018-01_008</v>
      </c>
      <c r="D362" s="51">
        <v>2.6373333333333333</v>
      </c>
      <c r="E362" s="51">
        <v>2.6873333333333336</v>
      </c>
      <c r="F362" s="52">
        <v>1.8866666666666667</v>
      </c>
    </row>
    <row r="363" spans="1:6" x14ac:dyDescent="0.35">
      <c r="A363" s="49" t="s">
        <v>1003</v>
      </c>
      <c r="B363" s="49" t="s">
        <v>1271</v>
      </c>
      <c r="C363" s="49" t="str">
        <f t="shared" si="5"/>
        <v>48018-01_009</v>
      </c>
      <c r="D363" s="51">
        <v>2.64</v>
      </c>
      <c r="E363" s="51">
        <v>2.694</v>
      </c>
      <c r="F363" s="52">
        <v>2.0699999999999998</v>
      </c>
    </row>
    <row r="364" spans="1:6" x14ac:dyDescent="0.35">
      <c r="A364" s="49" t="s">
        <v>1003</v>
      </c>
      <c r="B364" s="49" t="s">
        <v>1276</v>
      </c>
      <c r="C364" s="49" t="str">
        <f t="shared" si="5"/>
        <v>48018-01_010</v>
      </c>
      <c r="D364" s="51">
        <v>2.7509999999999999</v>
      </c>
      <c r="E364" s="51">
        <v>2.77</v>
      </c>
      <c r="F364" s="52">
        <v>0.7</v>
      </c>
    </row>
    <row r="365" spans="1:6" x14ac:dyDescent="0.35">
      <c r="A365" s="49" t="s">
        <v>1003</v>
      </c>
      <c r="B365" s="49" t="s">
        <v>1272</v>
      </c>
      <c r="C365" s="49" t="str">
        <f t="shared" si="5"/>
        <v>48018-01_057</v>
      </c>
      <c r="D365" s="51">
        <v>2.6480000000000001</v>
      </c>
      <c r="E365" s="51">
        <v>2.6890000000000001</v>
      </c>
      <c r="F365" s="52">
        <v>1.5433333333333332</v>
      </c>
    </row>
    <row r="366" spans="1:6" x14ac:dyDescent="0.35">
      <c r="A366" s="49" t="s">
        <v>1003</v>
      </c>
      <c r="B366" s="49" t="s">
        <v>1274</v>
      </c>
      <c r="C366" s="49" t="str">
        <f t="shared" si="5"/>
        <v>48018-01_SD2</v>
      </c>
      <c r="D366" s="51">
        <v>2.7374999999999998</v>
      </c>
      <c r="E366" s="51">
        <v>2.7605</v>
      </c>
      <c r="F366" s="52">
        <v>0.85000000000000009</v>
      </c>
    </row>
    <row r="367" spans="1:6" x14ac:dyDescent="0.35">
      <c r="A367" s="49" t="s">
        <v>501</v>
      </c>
      <c r="B367" s="49" t="s">
        <v>1274</v>
      </c>
      <c r="C367" s="49" t="str">
        <f t="shared" si="5"/>
        <v>41039-01_SD2</v>
      </c>
      <c r="D367" s="51">
        <v>2.6273333333333331</v>
      </c>
      <c r="E367" s="51">
        <v>2.653</v>
      </c>
      <c r="F367" s="52">
        <v>0.97000000000000008</v>
      </c>
    </row>
    <row r="368" spans="1:6" x14ac:dyDescent="0.35">
      <c r="A368" s="49" t="s">
        <v>1151</v>
      </c>
      <c r="B368" s="49" t="s">
        <v>1270</v>
      </c>
      <c r="C368" s="49" t="str">
        <f t="shared" si="5"/>
        <v>50076-01_008</v>
      </c>
      <c r="D368" s="51">
        <v>2.6475</v>
      </c>
      <c r="E368" s="51">
        <v>2.66</v>
      </c>
      <c r="F368" s="52">
        <v>0.48</v>
      </c>
    </row>
    <row r="369" spans="1:6" x14ac:dyDescent="0.35">
      <c r="A369" s="49" t="s">
        <v>1151</v>
      </c>
      <c r="B369" s="49" t="s">
        <v>1272</v>
      </c>
      <c r="C369" s="49" t="str">
        <f t="shared" si="5"/>
        <v>50076-01_057</v>
      </c>
      <c r="D369" s="51">
        <v>2.6589999999999998</v>
      </c>
      <c r="E369" s="51">
        <v>2.6675</v>
      </c>
      <c r="F369" s="52">
        <v>0.32999999999999996</v>
      </c>
    </row>
    <row r="370" spans="1:6" x14ac:dyDescent="0.35">
      <c r="A370" s="49" t="s">
        <v>429</v>
      </c>
      <c r="B370" s="49" t="s">
        <v>1272</v>
      </c>
      <c r="C370" s="49" t="str">
        <f t="shared" si="5"/>
        <v>40025-01_057</v>
      </c>
      <c r="D370" s="51">
        <v>2.6077500000000002</v>
      </c>
      <c r="E370" s="51">
        <v>2.6535000000000002</v>
      </c>
      <c r="F370" s="52">
        <v>1.7549999999999999</v>
      </c>
    </row>
    <row r="371" spans="1:6" x14ac:dyDescent="0.35">
      <c r="A371" s="49" t="s">
        <v>429</v>
      </c>
      <c r="B371" s="49" t="s">
        <v>1273</v>
      </c>
      <c r="C371" s="49" t="str">
        <f t="shared" si="5"/>
        <v>40025-01_SD5</v>
      </c>
      <c r="D371" s="51">
        <v>2.7</v>
      </c>
      <c r="E371" s="51">
        <v>2.7322500000000001</v>
      </c>
      <c r="F371" s="52">
        <v>1.1975</v>
      </c>
    </row>
    <row r="372" spans="1:6" x14ac:dyDescent="0.35">
      <c r="A372" s="49" t="s">
        <v>1046</v>
      </c>
      <c r="B372" s="49" t="s">
        <v>1272</v>
      </c>
      <c r="C372" s="49" t="str">
        <f t="shared" si="5"/>
        <v>49012-01_057</v>
      </c>
      <c r="D372" s="51">
        <v>2.5066666666666664</v>
      </c>
      <c r="E372" s="51">
        <v>2.5463333333333336</v>
      </c>
      <c r="F372" s="52">
        <v>1.5833333333333333</v>
      </c>
    </row>
    <row r="373" spans="1:6" x14ac:dyDescent="0.35">
      <c r="A373" s="49" t="s">
        <v>1046</v>
      </c>
      <c r="B373" s="49" t="s">
        <v>1274</v>
      </c>
      <c r="C373" s="49" t="str">
        <f t="shared" si="5"/>
        <v>49012-01_SD2</v>
      </c>
      <c r="D373" s="51">
        <v>2.5935999999999999</v>
      </c>
      <c r="E373" s="51">
        <v>2.6179999999999999</v>
      </c>
      <c r="F373" s="52">
        <v>0.93599999999999994</v>
      </c>
    </row>
    <row r="374" spans="1:6" x14ac:dyDescent="0.35">
      <c r="A374" s="49" t="s">
        <v>451</v>
      </c>
      <c r="B374" s="49" t="s">
        <v>1280</v>
      </c>
      <c r="C374" s="49" t="str">
        <f t="shared" si="5"/>
        <v>41007-01_007M</v>
      </c>
      <c r="D374" s="51">
        <v>2.5950000000000002</v>
      </c>
      <c r="E374" s="51">
        <v>2.6459999999999999</v>
      </c>
      <c r="F374" s="52">
        <v>1.97</v>
      </c>
    </row>
    <row r="375" spans="1:6" x14ac:dyDescent="0.35">
      <c r="A375" s="49" t="s">
        <v>451</v>
      </c>
      <c r="B375" s="49" t="s">
        <v>1270</v>
      </c>
      <c r="C375" s="49" t="str">
        <f t="shared" si="5"/>
        <v>41007-01_008</v>
      </c>
      <c r="D375" s="51">
        <v>2.6053333333333333</v>
      </c>
      <c r="E375" s="51">
        <v>2.661</v>
      </c>
      <c r="F375" s="52">
        <v>2.1333333333333333</v>
      </c>
    </row>
    <row r="376" spans="1:6" x14ac:dyDescent="0.35">
      <c r="A376" s="49" t="s">
        <v>451</v>
      </c>
      <c r="B376" s="49" t="s">
        <v>1271</v>
      </c>
      <c r="C376" s="49" t="str">
        <f t="shared" si="5"/>
        <v>41007-01_009</v>
      </c>
      <c r="D376" s="51">
        <v>2.581</v>
      </c>
      <c r="E376" s="51">
        <v>2.6466666666666665</v>
      </c>
      <c r="F376" s="52">
        <v>2.5466666666666669</v>
      </c>
    </row>
    <row r="377" spans="1:6" x14ac:dyDescent="0.35">
      <c r="A377" s="49" t="s">
        <v>451</v>
      </c>
      <c r="B377" s="49" t="s">
        <v>1284</v>
      </c>
      <c r="C377" s="49" t="str">
        <f t="shared" si="5"/>
        <v>41007-01_010M</v>
      </c>
      <c r="D377" s="51">
        <v>2.7013333333333338</v>
      </c>
      <c r="E377" s="51">
        <v>2.734666666666667</v>
      </c>
      <c r="F377" s="52">
        <v>1.2333333333333332</v>
      </c>
    </row>
    <row r="378" spans="1:6" x14ac:dyDescent="0.35">
      <c r="A378" s="49" t="s">
        <v>451</v>
      </c>
      <c r="B378" s="49" t="s">
        <v>1272</v>
      </c>
      <c r="C378" s="49" t="str">
        <f t="shared" si="5"/>
        <v>41007-01_057</v>
      </c>
      <c r="D378" s="51">
        <v>2.5917500000000002</v>
      </c>
      <c r="E378" s="51">
        <v>2.64</v>
      </c>
      <c r="F378" s="52">
        <v>1.8625</v>
      </c>
    </row>
    <row r="379" spans="1:6" x14ac:dyDescent="0.35">
      <c r="A379" s="49" t="s">
        <v>451</v>
      </c>
      <c r="B379" s="49" t="s">
        <v>1273</v>
      </c>
      <c r="C379" s="49" t="str">
        <f t="shared" si="5"/>
        <v>41007-01_SD5</v>
      </c>
      <c r="D379" s="51">
        <v>2.7336666666666667</v>
      </c>
      <c r="E379" s="51">
        <v>2.7576666666666667</v>
      </c>
      <c r="F379" s="52">
        <v>0.87666666666666659</v>
      </c>
    </row>
    <row r="380" spans="1:6" x14ac:dyDescent="0.35">
      <c r="A380" s="49" t="s">
        <v>826</v>
      </c>
      <c r="B380" s="49" t="s">
        <v>1279</v>
      </c>
      <c r="C380" s="49" t="str">
        <f t="shared" si="5"/>
        <v>46004-01_004</v>
      </c>
      <c r="D380" s="51">
        <v>2.5529999999999999</v>
      </c>
      <c r="E380" s="51">
        <v>2.5960000000000001</v>
      </c>
      <c r="F380" s="52">
        <v>1.68</v>
      </c>
    </row>
    <row r="381" spans="1:6" x14ac:dyDescent="0.35">
      <c r="A381" s="49" t="s">
        <v>826</v>
      </c>
      <c r="B381" s="49" t="s">
        <v>1270</v>
      </c>
      <c r="C381" s="49" t="str">
        <f t="shared" si="5"/>
        <v>46004-01_008</v>
      </c>
      <c r="D381" s="51">
        <v>2.64025</v>
      </c>
      <c r="E381" s="51">
        <v>2.6819999999999999</v>
      </c>
      <c r="F381" s="52">
        <v>1.5825</v>
      </c>
    </row>
    <row r="382" spans="1:6" x14ac:dyDescent="0.35">
      <c r="A382" s="49" t="s">
        <v>826</v>
      </c>
      <c r="B382" s="49" t="s">
        <v>1272</v>
      </c>
      <c r="C382" s="49" t="str">
        <f t="shared" si="5"/>
        <v>46004-01_057</v>
      </c>
      <c r="D382" s="51">
        <v>2.6190000000000002</v>
      </c>
      <c r="E382" s="51">
        <v>2.6589999999999998</v>
      </c>
      <c r="F382" s="52">
        <v>1.5225</v>
      </c>
    </row>
    <row r="383" spans="1:6" x14ac:dyDescent="0.35">
      <c r="A383" s="49" t="s">
        <v>826</v>
      </c>
      <c r="B383" s="49" t="s">
        <v>1277</v>
      </c>
      <c r="C383" s="49" t="str">
        <f t="shared" si="5"/>
        <v>46004-01_078M</v>
      </c>
      <c r="D383" s="51">
        <v>2.6186666666666669</v>
      </c>
      <c r="E383" s="51">
        <v>2.6626666666666665</v>
      </c>
      <c r="F383" s="52">
        <v>1.6833333333333333</v>
      </c>
    </row>
    <row r="384" spans="1:6" x14ac:dyDescent="0.35">
      <c r="A384" s="49" t="s">
        <v>826</v>
      </c>
      <c r="B384" s="49" t="s">
        <v>1290</v>
      </c>
      <c r="C384" s="49" t="str">
        <f t="shared" si="5"/>
        <v>46004-01_SD5M</v>
      </c>
      <c r="D384" s="51">
        <v>2.766</v>
      </c>
      <c r="E384" s="51">
        <v>2.7770000000000001</v>
      </c>
      <c r="F384" s="52">
        <v>0.40500000000000003</v>
      </c>
    </row>
    <row r="385" spans="1:6" x14ac:dyDescent="0.35">
      <c r="A385" s="49" t="s">
        <v>914</v>
      </c>
      <c r="B385" s="49" t="s">
        <v>1279</v>
      </c>
      <c r="C385" s="49" t="str">
        <f t="shared" si="5"/>
        <v>47037-01_004</v>
      </c>
      <c r="D385" s="51">
        <v>2.5470000000000002</v>
      </c>
      <c r="E385" s="51">
        <v>2.5920000000000001</v>
      </c>
      <c r="F385" s="52">
        <v>1.7700000000000002</v>
      </c>
    </row>
    <row r="386" spans="1:6" x14ac:dyDescent="0.35">
      <c r="A386" s="49" t="s">
        <v>914</v>
      </c>
      <c r="B386" s="49" t="s">
        <v>1270</v>
      </c>
      <c r="C386" s="49" t="str">
        <f t="shared" si="5"/>
        <v>47037-01_008</v>
      </c>
      <c r="D386" s="51">
        <v>2.5893333333333333</v>
      </c>
      <c r="E386" s="51">
        <v>2.6423333333333336</v>
      </c>
      <c r="F386" s="52">
        <v>2.0433333333333334</v>
      </c>
    </row>
    <row r="387" spans="1:6" x14ac:dyDescent="0.35">
      <c r="A387" s="49" t="s">
        <v>914</v>
      </c>
      <c r="B387" s="49" t="s">
        <v>1276</v>
      </c>
      <c r="C387" s="49" t="str">
        <f t="shared" ref="C387:C450" si="6">A387&amp;"_"&amp;B387</f>
        <v>47037-01_010</v>
      </c>
      <c r="D387" s="51">
        <v>2.7466666666666661</v>
      </c>
      <c r="E387" s="51">
        <v>2.761333333333333</v>
      </c>
      <c r="F387" s="52">
        <v>0.52666666666666673</v>
      </c>
    </row>
    <row r="388" spans="1:6" x14ac:dyDescent="0.35">
      <c r="A388" s="49" t="s">
        <v>914</v>
      </c>
      <c r="B388" s="49" t="s">
        <v>1272</v>
      </c>
      <c r="C388" s="49" t="str">
        <f t="shared" si="6"/>
        <v>47037-01_057</v>
      </c>
      <c r="D388" s="51">
        <v>2.5673333333333335</v>
      </c>
      <c r="E388" s="51">
        <v>2.6150000000000002</v>
      </c>
      <c r="F388" s="52">
        <v>1.8533333333333335</v>
      </c>
    </row>
    <row r="389" spans="1:6" x14ac:dyDescent="0.35">
      <c r="A389" s="49" t="s">
        <v>914</v>
      </c>
      <c r="B389" s="49" t="s">
        <v>1290</v>
      </c>
      <c r="C389" s="49" t="str">
        <f t="shared" si="6"/>
        <v>47037-01_SD5M</v>
      </c>
      <c r="D389" s="51">
        <v>2.7803333333333331</v>
      </c>
      <c r="E389" s="51">
        <v>2.7863333333333333</v>
      </c>
      <c r="F389" s="52">
        <v>0.22</v>
      </c>
    </row>
    <row r="390" spans="1:6" x14ac:dyDescent="0.35">
      <c r="A390" s="49" t="s">
        <v>875</v>
      </c>
      <c r="B390" s="49" t="s">
        <v>1270</v>
      </c>
      <c r="C390" s="49" t="str">
        <f t="shared" si="6"/>
        <v>47003-01_008</v>
      </c>
      <c r="D390" s="51">
        <v>2.6213333333333328</v>
      </c>
      <c r="E390" s="51">
        <v>2.6633333333333336</v>
      </c>
      <c r="F390" s="52">
        <v>1.6033333333333335</v>
      </c>
    </row>
    <row r="391" spans="1:6" x14ac:dyDescent="0.35">
      <c r="A391" s="49" t="s">
        <v>875</v>
      </c>
      <c r="B391" s="49" t="s">
        <v>1281</v>
      </c>
      <c r="C391" s="49" t="str">
        <f t="shared" si="6"/>
        <v>47003-01_009M</v>
      </c>
      <c r="D391" s="51">
        <v>2.589</v>
      </c>
      <c r="E391" s="51">
        <v>2.6376666666666666</v>
      </c>
      <c r="F391" s="52">
        <v>1.8733333333333333</v>
      </c>
    </row>
    <row r="392" spans="1:6" x14ac:dyDescent="0.35">
      <c r="A392" s="49" t="s">
        <v>875</v>
      </c>
      <c r="B392" s="49" t="s">
        <v>1272</v>
      </c>
      <c r="C392" s="49" t="str">
        <f t="shared" si="6"/>
        <v>47003-01_057</v>
      </c>
      <c r="D392" s="51">
        <v>2.6280000000000001</v>
      </c>
      <c r="E392" s="51">
        <v>2.6680000000000001</v>
      </c>
      <c r="F392" s="52">
        <v>1.52</v>
      </c>
    </row>
    <row r="393" spans="1:6" x14ac:dyDescent="0.35">
      <c r="A393" s="49" t="s">
        <v>875</v>
      </c>
      <c r="B393" s="49" t="s">
        <v>1274</v>
      </c>
      <c r="C393" s="49" t="str">
        <f t="shared" si="6"/>
        <v>47003-01_SD2</v>
      </c>
      <c r="D393" s="51">
        <v>2.6102500000000002</v>
      </c>
      <c r="E393" s="51">
        <v>2.6469999999999998</v>
      </c>
      <c r="F393" s="52">
        <v>1.4</v>
      </c>
    </row>
    <row r="394" spans="1:6" x14ac:dyDescent="0.35">
      <c r="A394" s="49" t="s">
        <v>875</v>
      </c>
      <c r="B394" s="49" t="s">
        <v>1273</v>
      </c>
      <c r="C394" s="49" t="str">
        <f t="shared" si="6"/>
        <v>47003-01_SD5</v>
      </c>
      <c r="D394" s="51">
        <v>2.621</v>
      </c>
      <c r="E394" s="51">
        <v>2.653</v>
      </c>
      <c r="F394" s="52">
        <v>1.22</v>
      </c>
    </row>
    <row r="395" spans="1:6" x14ac:dyDescent="0.35">
      <c r="A395" s="49" t="s">
        <v>877</v>
      </c>
      <c r="B395" s="49" t="s">
        <v>1270</v>
      </c>
      <c r="C395" s="49" t="str">
        <f t="shared" si="6"/>
        <v>47003A-01_008</v>
      </c>
      <c r="D395" s="51">
        <v>2.6046666666666667</v>
      </c>
      <c r="E395" s="51">
        <v>2.6483333333333334</v>
      </c>
      <c r="F395" s="52">
        <v>1.67</v>
      </c>
    </row>
    <row r="396" spans="1:6" x14ac:dyDescent="0.35">
      <c r="A396" s="49" t="s">
        <v>877</v>
      </c>
      <c r="B396" s="49" t="s">
        <v>1272</v>
      </c>
      <c r="C396" s="49" t="str">
        <f t="shared" si="6"/>
        <v>47003A-01_057</v>
      </c>
      <c r="D396" s="51">
        <v>2.63</v>
      </c>
      <c r="E396" s="51">
        <v>2.6686666666666667</v>
      </c>
      <c r="F396" s="52">
        <v>1.47</v>
      </c>
    </row>
    <row r="397" spans="1:6" x14ac:dyDescent="0.35">
      <c r="A397" s="49" t="s">
        <v>880</v>
      </c>
      <c r="B397" s="49" t="s">
        <v>1270</v>
      </c>
      <c r="C397" s="49" t="str">
        <f t="shared" si="6"/>
        <v>47008-01_008</v>
      </c>
      <c r="D397" s="51">
        <v>2.5910000000000002</v>
      </c>
      <c r="E397" s="51">
        <v>2.645</v>
      </c>
      <c r="F397" s="52">
        <v>2.09</v>
      </c>
    </row>
    <row r="398" spans="1:6" x14ac:dyDescent="0.35">
      <c r="A398" s="49" t="s">
        <v>880</v>
      </c>
      <c r="B398" s="49" t="s">
        <v>1272</v>
      </c>
      <c r="C398" s="49" t="str">
        <f t="shared" si="6"/>
        <v>47008-01_057</v>
      </c>
      <c r="D398" s="51">
        <v>2.62</v>
      </c>
      <c r="E398" s="51">
        <v>2.6629999999999998</v>
      </c>
      <c r="F398" s="52">
        <v>1.66</v>
      </c>
    </row>
    <row r="399" spans="1:6" x14ac:dyDescent="0.35">
      <c r="A399" s="49" t="s">
        <v>880</v>
      </c>
      <c r="B399" s="49" t="s">
        <v>1274</v>
      </c>
      <c r="C399" s="49" t="str">
        <f t="shared" si="6"/>
        <v>47008-01_SD2</v>
      </c>
      <c r="D399" s="51">
        <v>2.6419999999999999</v>
      </c>
      <c r="E399" s="51">
        <v>2.6739999999999999</v>
      </c>
      <c r="F399" s="52">
        <v>1.2</v>
      </c>
    </row>
    <row r="400" spans="1:6" x14ac:dyDescent="0.35">
      <c r="A400" s="49" t="s">
        <v>880</v>
      </c>
      <c r="B400" s="49" t="s">
        <v>1273</v>
      </c>
      <c r="C400" s="49" t="str">
        <f t="shared" si="6"/>
        <v>47008-01_SD5</v>
      </c>
      <c r="D400" s="51">
        <v>2.6100000000000003</v>
      </c>
      <c r="E400" s="51">
        <v>2.6520000000000001</v>
      </c>
      <c r="F400" s="52">
        <v>1.58</v>
      </c>
    </row>
    <row r="401" spans="1:6" x14ac:dyDescent="0.35">
      <c r="A401" s="49" t="s">
        <v>930</v>
      </c>
      <c r="B401" s="49" t="s">
        <v>1270</v>
      </c>
      <c r="C401" s="49" t="str">
        <f t="shared" si="6"/>
        <v>47049-01_008</v>
      </c>
      <c r="D401" s="51">
        <v>2.5911999999999997</v>
      </c>
      <c r="E401" s="51">
        <v>2.6372</v>
      </c>
      <c r="F401" s="52">
        <v>1.786</v>
      </c>
    </row>
    <row r="402" spans="1:6" x14ac:dyDescent="0.35">
      <c r="A402" s="49" t="s">
        <v>930</v>
      </c>
      <c r="B402" s="49" t="s">
        <v>1281</v>
      </c>
      <c r="C402" s="49" t="str">
        <f t="shared" si="6"/>
        <v>47049-01_009M</v>
      </c>
      <c r="D402" s="51">
        <v>2.5500000000000003</v>
      </c>
      <c r="E402" s="51">
        <v>2.6033333333333335</v>
      </c>
      <c r="F402" s="52">
        <v>2.0933333333333333</v>
      </c>
    </row>
    <row r="403" spans="1:6" x14ac:dyDescent="0.35">
      <c r="A403" s="49" t="s">
        <v>930</v>
      </c>
      <c r="B403" s="49" t="s">
        <v>1272</v>
      </c>
      <c r="C403" s="49" t="str">
        <f t="shared" si="6"/>
        <v>47049-01_057</v>
      </c>
      <c r="D403" s="51">
        <v>2.6019999999999999</v>
      </c>
      <c r="E403" s="51">
        <v>2.6420000000000003</v>
      </c>
      <c r="F403" s="52">
        <v>1.532</v>
      </c>
    </row>
    <row r="404" spans="1:6" x14ac:dyDescent="0.35">
      <c r="A404" s="49" t="s">
        <v>930</v>
      </c>
      <c r="B404" s="49" t="s">
        <v>1274</v>
      </c>
      <c r="C404" s="49" t="str">
        <f t="shared" si="6"/>
        <v>47049-01_SD2</v>
      </c>
      <c r="D404" s="51">
        <v>2.6110000000000002</v>
      </c>
      <c r="E404" s="51">
        <v>2.64</v>
      </c>
      <c r="F404" s="52">
        <v>1.0999999999999999</v>
      </c>
    </row>
    <row r="405" spans="1:6" x14ac:dyDescent="0.35">
      <c r="A405" s="49" t="s">
        <v>946</v>
      </c>
      <c r="B405" s="49" t="s">
        <v>1270</v>
      </c>
      <c r="C405" s="49" t="str">
        <f t="shared" si="6"/>
        <v>47082-01_008</v>
      </c>
      <c r="D405" s="51">
        <v>2.589</v>
      </c>
      <c r="E405" s="51">
        <v>2.6409999999999996</v>
      </c>
      <c r="F405" s="52">
        <v>2.02</v>
      </c>
    </row>
    <row r="406" spans="1:6" x14ac:dyDescent="0.35">
      <c r="A406" s="49" t="s">
        <v>946</v>
      </c>
      <c r="B406" s="49" t="s">
        <v>1272</v>
      </c>
      <c r="C406" s="49" t="str">
        <f t="shared" si="6"/>
        <v>47082-01_057</v>
      </c>
      <c r="D406" s="51">
        <v>2.6147499999999999</v>
      </c>
      <c r="E406" s="51">
        <v>2.6589999999999998</v>
      </c>
      <c r="F406" s="52">
        <v>1.6924999999999999</v>
      </c>
    </row>
    <row r="407" spans="1:6" x14ac:dyDescent="0.35">
      <c r="A407" s="49" t="s">
        <v>946</v>
      </c>
      <c r="B407" s="49" t="s">
        <v>1274</v>
      </c>
      <c r="C407" s="49" t="str">
        <f t="shared" si="6"/>
        <v>47082-01_SD2</v>
      </c>
      <c r="D407" s="51">
        <v>2.6053333333333337</v>
      </c>
      <c r="E407" s="51">
        <v>2.629</v>
      </c>
      <c r="F407" s="52">
        <v>0.9</v>
      </c>
    </row>
    <row r="408" spans="1:6" x14ac:dyDescent="0.35">
      <c r="A408" s="49" t="s">
        <v>1073</v>
      </c>
      <c r="B408" s="49" t="s">
        <v>1279</v>
      </c>
      <c r="C408" s="49" t="str">
        <f t="shared" si="6"/>
        <v>49054-01_004</v>
      </c>
      <c r="D408" s="51">
        <v>2.6560000000000001</v>
      </c>
      <c r="E408" s="51">
        <v>2.6640000000000001</v>
      </c>
      <c r="F408" s="52">
        <v>0.3</v>
      </c>
    </row>
    <row r="409" spans="1:6" x14ac:dyDescent="0.35">
      <c r="A409" s="49" t="s">
        <v>1073</v>
      </c>
      <c r="B409" s="49" t="s">
        <v>1270</v>
      </c>
      <c r="C409" s="49" t="str">
        <f t="shared" si="6"/>
        <v>49054-01_008</v>
      </c>
      <c r="D409" s="51">
        <v>2.6185</v>
      </c>
      <c r="E409" s="51">
        <v>2.6364999999999998</v>
      </c>
      <c r="F409" s="52">
        <v>0.68500000000000005</v>
      </c>
    </row>
    <row r="410" spans="1:6" x14ac:dyDescent="0.35">
      <c r="A410" s="49" t="s">
        <v>1073</v>
      </c>
      <c r="B410" s="49" t="s">
        <v>1276</v>
      </c>
      <c r="C410" s="49" t="str">
        <f t="shared" si="6"/>
        <v>49054-01_010</v>
      </c>
      <c r="D410" s="51">
        <v>2.6356666666666668</v>
      </c>
      <c r="E410" s="51">
        <v>2.6533333333333338</v>
      </c>
      <c r="F410" s="52">
        <v>0.65666666666666662</v>
      </c>
    </row>
    <row r="411" spans="1:6" x14ac:dyDescent="0.35">
      <c r="A411" s="49" t="s">
        <v>1073</v>
      </c>
      <c r="B411" s="49" t="s">
        <v>1272</v>
      </c>
      <c r="C411" s="49" t="str">
        <f t="shared" si="6"/>
        <v>49054-01_057</v>
      </c>
      <c r="D411" s="51">
        <v>2.6406666666666667</v>
      </c>
      <c r="E411" s="51">
        <v>2.6543333333333332</v>
      </c>
      <c r="F411" s="52">
        <v>0.51666666666666672</v>
      </c>
    </row>
    <row r="412" spans="1:6" x14ac:dyDescent="0.35">
      <c r="A412" s="49" t="s">
        <v>1073</v>
      </c>
      <c r="B412" s="49" t="s">
        <v>1299</v>
      </c>
      <c r="C412" s="49" t="str">
        <f t="shared" si="6"/>
        <v>49054-01_467</v>
      </c>
      <c r="D412" s="51">
        <v>2.6269999999999998</v>
      </c>
      <c r="E412" s="51">
        <v>2.6390000000000002</v>
      </c>
      <c r="F412" s="52">
        <v>0.47</v>
      </c>
    </row>
    <row r="413" spans="1:6" x14ac:dyDescent="0.35">
      <c r="A413" s="49" t="s">
        <v>951</v>
      </c>
      <c r="B413" s="49" t="s">
        <v>1270</v>
      </c>
      <c r="C413" s="49" t="str">
        <f t="shared" si="6"/>
        <v>47084-01_008</v>
      </c>
      <c r="D413" s="51">
        <v>2.6215000000000002</v>
      </c>
      <c r="E413" s="51">
        <v>2.6662499999999998</v>
      </c>
      <c r="F413" s="52">
        <v>1.7124999999999999</v>
      </c>
    </row>
    <row r="414" spans="1:6" x14ac:dyDescent="0.35">
      <c r="A414" s="49" t="s">
        <v>951</v>
      </c>
      <c r="B414" s="49" t="s">
        <v>1272</v>
      </c>
      <c r="C414" s="49" t="str">
        <f t="shared" si="6"/>
        <v>47084-01_057</v>
      </c>
      <c r="D414" s="51">
        <v>2.6319999999999997</v>
      </c>
      <c r="E414" s="51">
        <v>2.6719999999999997</v>
      </c>
      <c r="F414" s="52">
        <v>1.5225</v>
      </c>
    </row>
    <row r="415" spans="1:6" x14ac:dyDescent="0.35">
      <c r="A415" s="49" t="s">
        <v>951</v>
      </c>
      <c r="B415" s="49" t="s">
        <v>1274</v>
      </c>
      <c r="C415" s="49" t="str">
        <f t="shared" si="6"/>
        <v>47084-01_SD2</v>
      </c>
      <c r="D415" s="51">
        <v>2.6256666666666666</v>
      </c>
      <c r="E415" s="51">
        <v>2.6696666666666666</v>
      </c>
      <c r="F415" s="52">
        <v>1.67</v>
      </c>
    </row>
    <row r="416" spans="1:6" x14ac:dyDescent="0.35">
      <c r="A416" s="49" t="s">
        <v>897</v>
      </c>
      <c r="B416" s="49" t="s">
        <v>1270</v>
      </c>
      <c r="C416" s="49" t="str">
        <f t="shared" si="6"/>
        <v>47026-01_008</v>
      </c>
      <c r="D416" s="51">
        <v>2.6230000000000002</v>
      </c>
      <c r="E416" s="51">
        <v>2.6677499999999998</v>
      </c>
      <c r="F416" s="52">
        <v>1.7024999999999999</v>
      </c>
    </row>
    <row r="417" spans="1:6" x14ac:dyDescent="0.35">
      <c r="A417" s="49" t="s">
        <v>897</v>
      </c>
      <c r="B417" s="49" t="s">
        <v>1281</v>
      </c>
      <c r="C417" s="49" t="str">
        <f t="shared" si="6"/>
        <v>47026-01_009M</v>
      </c>
      <c r="D417" s="51">
        <v>2.6143333333333332</v>
      </c>
      <c r="E417" s="51">
        <v>2.6626666666666665</v>
      </c>
      <c r="F417" s="52">
        <v>1.8499999999999999</v>
      </c>
    </row>
    <row r="418" spans="1:6" x14ac:dyDescent="0.35">
      <c r="A418" s="49" t="s">
        <v>897</v>
      </c>
      <c r="B418" s="49" t="s">
        <v>1272</v>
      </c>
      <c r="C418" s="49" t="str">
        <f t="shared" si="6"/>
        <v>47026-01_057</v>
      </c>
      <c r="D418" s="51">
        <v>2.6366000000000001</v>
      </c>
      <c r="E418" s="51">
        <v>2.6770000000000005</v>
      </c>
      <c r="F418" s="52">
        <v>1.528</v>
      </c>
    </row>
    <row r="419" spans="1:6" x14ac:dyDescent="0.35">
      <c r="A419" s="49" t="s">
        <v>897</v>
      </c>
      <c r="B419" s="49" t="s">
        <v>1274</v>
      </c>
      <c r="C419" s="49" t="str">
        <f t="shared" si="6"/>
        <v>47026-01_SD2</v>
      </c>
      <c r="D419" s="51">
        <v>2.6336666666666666</v>
      </c>
      <c r="E419" s="51">
        <v>2.6643333333333334</v>
      </c>
      <c r="F419" s="52">
        <v>1.1600000000000001</v>
      </c>
    </row>
    <row r="420" spans="1:6" x14ac:dyDescent="0.35">
      <c r="A420" s="49" t="s">
        <v>828</v>
      </c>
      <c r="B420" s="49" t="s">
        <v>1270</v>
      </c>
      <c r="C420" s="49" t="str">
        <f t="shared" si="6"/>
        <v>46007-01_008</v>
      </c>
      <c r="D420" s="51">
        <v>2.62</v>
      </c>
      <c r="E420" s="51">
        <v>2.6687500000000002</v>
      </c>
      <c r="F420" s="52">
        <v>1.8574999999999999</v>
      </c>
    </row>
    <row r="421" spans="1:6" x14ac:dyDescent="0.35">
      <c r="A421" s="49" t="s">
        <v>828</v>
      </c>
      <c r="B421" s="49" t="s">
        <v>1272</v>
      </c>
      <c r="C421" s="49" t="str">
        <f t="shared" si="6"/>
        <v>46007-01_057</v>
      </c>
      <c r="D421" s="51">
        <v>2.64825</v>
      </c>
      <c r="E421" s="51">
        <v>2.6872499999999997</v>
      </c>
      <c r="F421" s="52">
        <v>1.4724999999999999</v>
      </c>
    </row>
    <row r="422" spans="1:6" x14ac:dyDescent="0.35">
      <c r="A422" s="49" t="s">
        <v>828</v>
      </c>
      <c r="B422" s="49" t="s">
        <v>1274</v>
      </c>
      <c r="C422" s="49" t="str">
        <f t="shared" si="6"/>
        <v>46007-01_SD2</v>
      </c>
      <c r="D422" s="51">
        <v>2.6399999999999997</v>
      </c>
      <c r="E422" s="51">
        <v>2.6709999999999998</v>
      </c>
      <c r="F422" s="52">
        <v>1.165</v>
      </c>
    </row>
    <row r="423" spans="1:6" x14ac:dyDescent="0.35">
      <c r="A423" s="49" t="s">
        <v>449</v>
      </c>
      <c r="B423" s="49" t="s">
        <v>1273</v>
      </c>
      <c r="C423" s="49" t="str">
        <f t="shared" si="6"/>
        <v>41006-01_SD5</v>
      </c>
      <c r="D423" s="51">
        <v>2.706</v>
      </c>
      <c r="E423" s="51">
        <v>2.746</v>
      </c>
      <c r="F423" s="52">
        <v>1.49</v>
      </c>
    </row>
    <row r="424" spans="1:6" x14ac:dyDescent="0.35">
      <c r="A424" s="49" t="s">
        <v>884</v>
      </c>
      <c r="B424" s="49" t="s">
        <v>1270</v>
      </c>
      <c r="C424" s="49" t="str">
        <f t="shared" si="6"/>
        <v>47011-01_008</v>
      </c>
      <c r="D424" s="51">
        <v>2.5796666666666668</v>
      </c>
      <c r="E424" s="51">
        <v>2.6359999999999997</v>
      </c>
      <c r="F424" s="52">
        <v>2.186666666666667</v>
      </c>
    </row>
    <row r="425" spans="1:6" x14ac:dyDescent="0.35">
      <c r="A425" s="49" t="s">
        <v>884</v>
      </c>
      <c r="B425" s="49" t="s">
        <v>1281</v>
      </c>
      <c r="C425" s="49" t="str">
        <f t="shared" si="6"/>
        <v>47011-01_009M</v>
      </c>
      <c r="D425" s="51">
        <v>2.5649999999999999</v>
      </c>
      <c r="E425" s="51">
        <v>2.6269999999999998</v>
      </c>
      <c r="F425" s="52">
        <v>2.41</v>
      </c>
    </row>
    <row r="426" spans="1:6" x14ac:dyDescent="0.35">
      <c r="A426" s="49" t="s">
        <v>884</v>
      </c>
      <c r="B426" s="49" t="s">
        <v>1272</v>
      </c>
      <c r="C426" s="49" t="str">
        <f t="shared" si="6"/>
        <v>47011-01_057</v>
      </c>
      <c r="D426" s="51">
        <v>2.6083333333333329</v>
      </c>
      <c r="E426" s="51">
        <v>2.6549999999999998</v>
      </c>
      <c r="F426" s="52">
        <v>1.78</v>
      </c>
    </row>
    <row r="427" spans="1:6" x14ac:dyDescent="0.35">
      <c r="A427" s="49" t="s">
        <v>884</v>
      </c>
      <c r="B427" s="49" t="s">
        <v>1274</v>
      </c>
      <c r="C427" s="49" t="str">
        <f t="shared" si="6"/>
        <v>47011-01_SD2</v>
      </c>
      <c r="D427" s="51">
        <v>2.6186666666666665</v>
      </c>
      <c r="E427" s="51">
        <v>2.6583333333333332</v>
      </c>
      <c r="F427" s="52">
        <v>1.5033333333333332</v>
      </c>
    </row>
    <row r="428" spans="1:6" x14ac:dyDescent="0.35">
      <c r="A428" s="49" t="s">
        <v>884</v>
      </c>
      <c r="B428" s="49" t="s">
        <v>1273</v>
      </c>
      <c r="C428" s="49" t="str">
        <f t="shared" si="6"/>
        <v>47011-01_SD5</v>
      </c>
      <c r="D428" s="51">
        <v>2.6059999999999999</v>
      </c>
      <c r="E428" s="51">
        <v>2.6480000000000001</v>
      </c>
      <c r="F428" s="52">
        <v>1.59</v>
      </c>
    </row>
    <row r="429" spans="1:6" x14ac:dyDescent="0.35">
      <c r="A429" s="49" t="s">
        <v>1048</v>
      </c>
      <c r="B429" s="49" t="s">
        <v>1270</v>
      </c>
      <c r="C429" s="49" t="str">
        <f t="shared" si="6"/>
        <v>49015-01_008</v>
      </c>
      <c r="D429" s="51">
        <v>2.5303999999999998</v>
      </c>
      <c r="E429" s="51">
        <v>2.5716000000000001</v>
      </c>
      <c r="F429" s="52">
        <v>1.6140000000000001</v>
      </c>
    </row>
    <row r="430" spans="1:6" x14ac:dyDescent="0.35">
      <c r="A430" s="49" t="s">
        <v>1048</v>
      </c>
      <c r="B430" s="49" t="s">
        <v>1272</v>
      </c>
      <c r="C430" s="49" t="str">
        <f t="shared" si="6"/>
        <v>49015-01_057</v>
      </c>
      <c r="D430" s="51">
        <v>2.5193333333333334</v>
      </c>
      <c r="E430" s="51">
        <v>2.5579999999999998</v>
      </c>
      <c r="F430" s="52">
        <v>1.53</v>
      </c>
    </row>
    <row r="431" spans="1:6" x14ac:dyDescent="0.35">
      <c r="A431" s="49" t="s">
        <v>1048</v>
      </c>
      <c r="B431" s="49" t="s">
        <v>1296</v>
      </c>
      <c r="C431" s="49" t="str">
        <f t="shared" si="6"/>
        <v>49015-01_089</v>
      </c>
      <c r="D431" s="51">
        <v>2.5193333333333334</v>
      </c>
      <c r="E431" s="51">
        <v>2.5623333333333331</v>
      </c>
      <c r="F431" s="52">
        <v>1.71</v>
      </c>
    </row>
    <row r="432" spans="1:6" x14ac:dyDescent="0.35">
      <c r="A432" s="49" t="s">
        <v>1048</v>
      </c>
      <c r="B432" s="49" t="s">
        <v>1274</v>
      </c>
      <c r="C432" s="49" t="str">
        <f t="shared" si="6"/>
        <v>49015-01_SD2</v>
      </c>
      <c r="D432" s="51">
        <v>2.6066666666666669</v>
      </c>
      <c r="E432" s="51">
        <v>2.6305000000000001</v>
      </c>
      <c r="F432" s="52">
        <v>0.91499999999999992</v>
      </c>
    </row>
    <row r="433" spans="1:6" x14ac:dyDescent="0.35">
      <c r="A433" s="49" t="s">
        <v>996</v>
      </c>
      <c r="B433" s="49" t="s">
        <v>1270</v>
      </c>
      <c r="C433" s="49" t="str">
        <f t="shared" si="6"/>
        <v>48007-01_008</v>
      </c>
      <c r="D433" s="51">
        <v>2.552</v>
      </c>
      <c r="E433" s="51">
        <v>2.6059999999999999</v>
      </c>
      <c r="F433" s="52">
        <v>2.11</v>
      </c>
    </row>
    <row r="434" spans="1:6" x14ac:dyDescent="0.35">
      <c r="A434" s="49" t="s">
        <v>996</v>
      </c>
      <c r="B434" s="49" t="s">
        <v>1281</v>
      </c>
      <c r="C434" s="49" t="str">
        <f t="shared" si="6"/>
        <v>48007-01_009M</v>
      </c>
      <c r="D434" s="51">
        <v>2.5219999999999998</v>
      </c>
      <c r="E434" s="51">
        <v>2.5950000000000002</v>
      </c>
      <c r="F434" s="52">
        <v>2.91</v>
      </c>
    </row>
    <row r="435" spans="1:6" x14ac:dyDescent="0.35">
      <c r="A435" s="49" t="s">
        <v>996</v>
      </c>
      <c r="B435" s="49" t="s">
        <v>1272</v>
      </c>
      <c r="C435" s="49" t="str">
        <f t="shared" si="6"/>
        <v>48007-01_057</v>
      </c>
      <c r="D435" s="51">
        <v>2.5670000000000002</v>
      </c>
      <c r="E435" s="51">
        <v>2.617</v>
      </c>
      <c r="F435" s="52">
        <v>1.93</v>
      </c>
    </row>
    <row r="436" spans="1:6" x14ac:dyDescent="0.35">
      <c r="A436" s="49" t="s">
        <v>996</v>
      </c>
      <c r="B436" s="49" t="s">
        <v>1274</v>
      </c>
      <c r="C436" s="49" t="str">
        <f t="shared" si="6"/>
        <v>48007-01_SD2</v>
      </c>
      <c r="D436" s="51">
        <v>2.589</v>
      </c>
      <c r="E436" s="51">
        <v>2.6230000000000002</v>
      </c>
      <c r="F436" s="52">
        <v>1.31</v>
      </c>
    </row>
    <row r="437" spans="1:6" x14ac:dyDescent="0.35">
      <c r="A437" s="49" t="s">
        <v>998</v>
      </c>
      <c r="B437" s="49" t="s">
        <v>1273</v>
      </c>
      <c r="C437" s="49" t="str">
        <f t="shared" si="6"/>
        <v>48007A-01_SD5</v>
      </c>
      <c r="D437" s="51">
        <v>2.5760000000000001</v>
      </c>
      <c r="E437" s="51">
        <v>2.6295000000000002</v>
      </c>
      <c r="F437" s="52">
        <v>2.06</v>
      </c>
    </row>
    <row r="438" spans="1:6" x14ac:dyDescent="0.35">
      <c r="A438" s="49" t="s">
        <v>1041</v>
      </c>
      <c r="B438" s="49" t="s">
        <v>1300</v>
      </c>
      <c r="C438" s="49" t="str">
        <f t="shared" si="6"/>
        <v>49003-01_SD2/SD5</v>
      </c>
      <c r="D438" s="51">
        <v>2.5960000000000001</v>
      </c>
      <c r="E438" s="51">
        <v>2.6274999999999999</v>
      </c>
      <c r="F438" s="52">
        <v>1.22</v>
      </c>
    </row>
    <row r="439" spans="1:6" x14ac:dyDescent="0.35">
      <c r="A439" s="49" t="s">
        <v>1077</v>
      </c>
      <c r="B439" s="49" t="s">
        <v>1270</v>
      </c>
      <c r="C439" s="49" t="str">
        <f t="shared" si="6"/>
        <v>49059A-01_008</v>
      </c>
      <c r="D439" s="51">
        <v>2.5211999999999999</v>
      </c>
      <c r="E439" s="51">
        <v>2.5827999999999998</v>
      </c>
      <c r="F439" s="52">
        <v>2.444</v>
      </c>
    </row>
    <row r="440" spans="1:6" x14ac:dyDescent="0.35">
      <c r="A440" s="49" t="s">
        <v>1077</v>
      </c>
      <c r="B440" s="49" t="s">
        <v>1271</v>
      </c>
      <c r="C440" s="49" t="str">
        <f t="shared" si="6"/>
        <v>49059A-01_009</v>
      </c>
      <c r="D440" s="51">
        <v>2.5</v>
      </c>
      <c r="E440" s="51">
        <v>2.5693333333333332</v>
      </c>
      <c r="F440" s="52">
        <v>2.7833333333333332</v>
      </c>
    </row>
    <row r="441" spans="1:6" x14ac:dyDescent="0.35">
      <c r="A441" s="49" t="s">
        <v>1077</v>
      </c>
      <c r="B441" s="49" t="s">
        <v>1272</v>
      </c>
      <c r="C441" s="49" t="str">
        <f t="shared" si="6"/>
        <v>49059A-01_057</v>
      </c>
      <c r="D441" s="51">
        <v>2.5353333333333334</v>
      </c>
      <c r="E441" s="51">
        <v>2.5920000000000001</v>
      </c>
      <c r="F441" s="52">
        <v>2.2466666666666666</v>
      </c>
    </row>
    <row r="442" spans="1:6" x14ac:dyDescent="0.35">
      <c r="A442" s="49" t="s">
        <v>1077</v>
      </c>
      <c r="B442" s="49" t="s">
        <v>1300</v>
      </c>
      <c r="C442" s="49" t="str">
        <f t="shared" si="6"/>
        <v>49059A-01_SD2/SD5</v>
      </c>
      <c r="D442" s="51">
        <v>2.5830000000000002</v>
      </c>
      <c r="E442" s="51">
        <v>2.617</v>
      </c>
      <c r="F442" s="52">
        <v>1.3149999999999999</v>
      </c>
    </row>
    <row r="443" spans="1:6" x14ac:dyDescent="0.35">
      <c r="A443" s="49" t="s">
        <v>568</v>
      </c>
      <c r="B443" s="49" t="s">
        <v>1270</v>
      </c>
      <c r="C443" s="49" t="str">
        <f t="shared" si="6"/>
        <v>42012A-01_008</v>
      </c>
      <c r="D443" s="51">
        <v>2.5541999999999998</v>
      </c>
      <c r="E443" s="51">
        <v>2.6188000000000002</v>
      </c>
      <c r="F443" s="52">
        <v>2.5140000000000002</v>
      </c>
    </row>
    <row r="444" spans="1:6" x14ac:dyDescent="0.35">
      <c r="A444" s="49" t="s">
        <v>568</v>
      </c>
      <c r="B444" s="49" t="s">
        <v>1271</v>
      </c>
      <c r="C444" s="49" t="str">
        <f t="shared" si="6"/>
        <v>42012A-01_009</v>
      </c>
      <c r="D444" s="51">
        <v>2.4943333333333335</v>
      </c>
      <c r="E444" s="51">
        <v>2.579333333333333</v>
      </c>
      <c r="F444" s="52">
        <v>3.4066666666666663</v>
      </c>
    </row>
    <row r="445" spans="1:6" x14ac:dyDescent="0.35">
      <c r="A445" s="49" t="s">
        <v>568</v>
      </c>
      <c r="B445" s="49" t="s">
        <v>1284</v>
      </c>
      <c r="C445" s="49" t="str">
        <f t="shared" si="6"/>
        <v>42012A-01_010M</v>
      </c>
      <c r="D445" s="51">
        <v>2.6059999999999999</v>
      </c>
      <c r="E445" s="51">
        <v>2.6379999999999999</v>
      </c>
      <c r="F445" s="52">
        <v>1.23</v>
      </c>
    </row>
    <row r="446" spans="1:6" x14ac:dyDescent="0.35">
      <c r="A446" s="49" t="s">
        <v>568</v>
      </c>
      <c r="B446" s="49" t="s">
        <v>1272</v>
      </c>
      <c r="C446" s="49" t="str">
        <f t="shared" si="6"/>
        <v>42012A-01_057</v>
      </c>
      <c r="D446" s="51">
        <v>2.5704000000000002</v>
      </c>
      <c r="E446" s="51">
        <v>2.6234000000000002</v>
      </c>
      <c r="F446" s="52">
        <v>2.0619999999999998</v>
      </c>
    </row>
    <row r="447" spans="1:6" x14ac:dyDescent="0.35">
      <c r="A447" s="49" t="s">
        <v>568</v>
      </c>
      <c r="B447" s="49" t="s">
        <v>1274</v>
      </c>
      <c r="C447" s="49" t="str">
        <f t="shared" si="6"/>
        <v>42012A-01_SD2</v>
      </c>
      <c r="D447" s="51">
        <v>2.5536000000000003</v>
      </c>
      <c r="E447" s="51">
        <v>2.6049999999999995</v>
      </c>
      <c r="F447" s="52">
        <v>1.996</v>
      </c>
    </row>
    <row r="448" spans="1:6" x14ac:dyDescent="0.35">
      <c r="A448" s="49" t="s">
        <v>568</v>
      </c>
      <c r="B448" s="49" t="s">
        <v>1273</v>
      </c>
      <c r="C448" s="49" t="str">
        <f t="shared" si="6"/>
        <v>42012A-01_SD5</v>
      </c>
      <c r="D448" s="51">
        <v>2.5743333333333331</v>
      </c>
      <c r="E448" s="51">
        <v>2.6263333333333332</v>
      </c>
      <c r="F448" s="52">
        <v>2.0133333333333332</v>
      </c>
    </row>
    <row r="449" spans="1:6" x14ac:dyDescent="0.35">
      <c r="A449" s="49" t="s">
        <v>568</v>
      </c>
      <c r="B449" s="49" t="s">
        <v>1290</v>
      </c>
      <c r="C449" s="49" t="str">
        <f t="shared" si="6"/>
        <v>42012A-01_SD5M</v>
      </c>
      <c r="D449" s="51">
        <v>2.5726666666666667</v>
      </c>
      <c r="E449" s="51">
        <v>2.6136666666666666</v>
      </c>
      <c r="F449" s="52">
        <v>1.5966666666666667</v>
      </c>
    </row>
    <row r="450" spans="1:6" x14ac:dyDescent="0.35">
      <c r="A450" s="49" t="s">
        <v>647</v>
      </c>
      <c r="B450" s="49" t="s">
        <v>1270</v>
      </c>
      <c r="C450" s="49" t="str">
        <f t="shared" si="6"/>
        <v>43073A-01_008</v>
      </c>
      <c r="D450" s="51">
        <v>2.5356000000000001</v>
      </c>
      <c r="E450" s="51">
        <v>2.589</v>
      </c>
      <c r="F450" s="52">
        <v>2.1120000000000001</v>
      </c>
    </row>
    <row r="451" spans="1:6" x14ac:dyDescent="0.35">
      <c r="A451" s="49" t="s">
        <v>647</v>
      </c>
      <c r="B451" s="49" t="s">
        <v>1284</v>
      </c>
      <c r="C451" s="49" t="str">
        <f t="shared" ref="C451:C514" si="7">A451&amp;"_"&amp;B451</f>
        <v>43073A-01_010M</v>
      </c>
      <c r="D451" s="51">
        <v>2.625</v>
      </c>
      <c r="E451" s="51">
        <v>2.637</v>
      </c>
      <c r="F451" s="52">
        <v>0.47</v>
      </c>
    </row>
    <row r="452" spans="1:6" x14ac:dyDescent="0.35">
      <c r="A452" s="49" t="s">
        <v>647</v>
      </c>
      <c r="B452" s="49" t="s">
        <v>1272</v>
      </c>
      <c r="C452" s="49" t="str">
        <f t="shared" si="7"/>
        <v>43073A-01_057</v>
      </c>
      <c r="D452" s="51">
        <v>2.5459999999999998</v>
      </c>
      <c r="E452" s="51">
        <v>2.5985714285714288</v>
      </c>
      <c r="F452" s="52">
        <v>2.0585714285714287</v>
      </c>
    </row>
    <row r="453" spans="1:6" x14ac:dyDescent="0.35">
      <c r="A453" s="49" t="s">
        <v>647</v>
      </c>
      <c r="B453" s="49" t="s">
        <v>1300</v>
      </c>
      <c r="C453" s="49" t="str">
        <f t="shared" si="7"/>
        <v>43073A-01_SD2/SD5</v>
      </c>
      <c r="D453" s="51">
        <v>2.6071666666666666</v>
      </c>
      <c r="E453" s="51">
        <v>2.6343333333333332</v>
      </c>
      <c r="F453" s="52">
        <v>1.04</v>
      </c>
    </row>
    <row r="454" spans="1:6" x14ac:dyDescent="0.35">
      <c r="A454" s="49" t="s">
        <v>733</v>
      </c>
      <c r="B454" s="49" t="s">
        <v>1270</v>
      </c>
      <c r="C454" s="49" t="str">
        <f t="shared" si="7"/>
        <v>44016-01_008</v>
      </c>
      <c r="D454" s="51">
        <v>2.5034999999999998</v>
      </c>
      <c r="E454" s="51">
        <v>2.5579999999999998</v>
      </c>
      <c r="F454" s="52">
        <v>2.19</v>
      </c>
    </row>
    <row r="455" spans="1:6" x14ac:dyDescent="0.35">
      <c r="A455" s="49" t="s">
        <v>733</v>
      </c>
      <c r="B455" s="49" t="s">
        <v>1281</v>
      </c>
      <c r="C455" s="49" t="str">
        <f t="shared" si="7"/>
        <v>44016-01_009M</v>
      </c>
      <c r="D455" s="51">
        <v>2.4963333333333333</v>
      </c>
      <c r="E455" s="51">
        <v>2.5609999999999999</v>
      </c>
      <c r="F455" s="52">
        <v>2.5999999999999996</v>
      </c>
    </row>
    <row r="456" spans="1:6" x14ac:dyDescent="0.35">
      <c r="A456" s="49" t="s">
        <v>733</v>
      </c>
      <c r="B456" s="49" t="s">
        <v>1272</v>
      </c>
      <c r="C456" s="49" t="str">
        <f t="shared" si="7"/>
        <v>44016-01_057</v>
      </c>
      <c r="D456" s="51">
        <v>2.5095000000000001</v>
      </c>
      <c r="E456" s="51">
        <v>2.5619999999999998</v>
      </c>
      <c r="F456" s="52">
        <v>2.085</v>
      </c>
    </row>
    <row r="457" spans="1:6" x14ac:dyDescent="0.35">
      <c r="A457" s="49" t="s">
        <v>733</v>
      </c>
      <c r="B457" s="49" t="s">
        <v>1300</v>
      </c>
      <c r="C457" s="49" t="str">
        <f t="shared" si="7"/>
        <v>44016-01_SD2/SD5</v>
      </c>
      <c r="D457" s="51">
        <v>2.5933333333333333</v>
      </c>
      <c r="E457" s="51">
        <v>2.6186666666666665</v>
      </c>
      <c r="F457" s="52">
        <v>0.97666666666666668</v>
      </c>
    </row>
    <row r="458" spans="1:6" x14ac:dyDescent="0.35">
      <c r="A458" s="49" t="s">
        <v>733</v>
      </c>
      <c r="B458" s="49" t="s">
        <v>1290</v>
      </c>
      <c r="C458" s="49" t="str">
        <f t="shared" si="7"/>
        <v>44016-01_SD5M</v>
      </c>
      <c r="D458" s="51">
        <v>2.6074999999999999</v>
      </c>
      <c r="E458" s="51">
        <v>2.6284999999999998</v>
      </c>
      <c r="F458" s="52">
        <v>0.82499999999999996</v>
      </c>
    </row>
    <row r="459" spans="1:6" x14ac:dyDescent="0.35">
      <c r="A459" s="49" t="s">
        <v>635</v>
      </c>
      <c r="B459" s="49" t="s">
        <v>1270</v>
      </c>
      <c r="C459" s="49" t="str">
        <f t="shared" si="7"/>
        <v>43052-01_008</v>
      </c>
      <c r="D459" s="51">
        <v>2.5397500000000002</v>
      </c>
      <c r="E459" s="51">
        <v>2.5865</v>
      </c>
      <c r="F459" s="52">
        <v>1.8175000000000001</v>
      </c>
    </row>
    <row r="460" spans="1:6" x14ac:dyDescent="0.35">
      <c r="A460" s="49" t="s">
        <v>635</v>
      </c>
      <c r="B460" s="49" t="s">
        <v>1272</v>
      </c>
      <c r="C460" s="49" t="str">
        <f t="shared" si="7"/>
        <v>43052-01_057</v>
      </c>
      <c r="D460" s="51">
        <v>2.5442</v>
      </c>
      <c r="E460" s="51">
        <v>2.5895999999999999</v>
      </c>
      <c r="F460" s="52">
        <v>1.786</v>
      </c>
    </row>
    <row r="461" spans="1:6" x14ac:dyDescent="0.35">
      <c r="A461" s="49" t="s">
        <v>635</v>
      </c>
      <c r="B461" s="49" t="s">
        <v>1274</v>
      </c>
      <c r="C461" s="49" t="str">
        <f t="shared" si="7"/>
        <v>43052-01_SD2</v>
      </c>
      <c r="D461" s="51">
        <v>2.6092500000000003</v>
      </c>
      <c r="E461" s="51">
        <v>2.6302499999999998</v>
      </c>
      <c r="F461" s="52">
        <v>0.80499999999999994</v>
      </c>
    </row>
    <row r="462" spans="1:6" x14ac:dyDescent="0.35">
      <c r="A462" s="49" t="s">
        <v>635</v>
      </c>
      <c r="B462" s="49" t="s">
        <v>1301</v>
      </c>
      <c r="C462" s="49" t="str">
        <f t="shared" si="7"/>
        <v>43052-01_SD3M</v>
      </c>
      <c r="D462" s="51">
        <v>2.6120000000000001</v>
      </c>
      <c r="E462" s="51">
        <v>2.6319999999999997</v>
      </c>
      <c r="F462" s="52">
        <v>0.77</v>
      </c>
    </row>
    <row r="463" spans="1:6" x14ac:dyDescent="0.35">
      <c r="A463" s="49" t="s">
        <v>635</v>
      </c>
      <c r="B463" s="49" t="s">
        <v>1273</v>
      </c>
      <c r="C463" s="49" t="str">
        <f t="shared" si="7"/>
        <v>43052-01_SD5</v>
      </c>
      <c r="D463" s="51">
        <v>2.5996666666666663</v>
      </c>
      <c r="E463" s="51">
        <v>2.6246666666666667</v>
      </c>
      <c r="F463" s="52">
        <v>0.95333333333333348</v>
      </c>
    </row>
    <row r="464" spans="1:6" x14ac:dyDescent="0.35">
      <c r="A464" s="49" t="s">
        <v>637</v>
      </c>
      <c r="B464" s="49" t="s">
        <v>1273</v>
      </c>
      <c r="C464" s="49" t="str">
        <f t="shared" si="7"/>
        <v>43052A-01_SD5</v>
      </c>
      <c r="D464" s="51">
        <v>2.61</v>
      </c>
      <c r="E464" s="51">
        <v>2.6360000000000001</v>
      </c>
      <c r="F464" s="52">
        <v>0.99</v>
      </c>
    </row>
    <row r="465" spans="1:6" x14ac:dyDescent="0.35">
      <c r="A465" s="49" t="s">
        <v>656</v>
      </c>
      <c r="B465" s="49" t="s">
        <v>1270</v>
      </c>
      <c r="C465" s="49" t="str">
        <f t="shared" si="7"/>
        <v>43079-01_008</v>
      </c>
      <c r="D465" s="51">
        <v>2.5243333333333333</v>
      </c>
      <c r="E465" s="51">
        <v>2.5820000000000003</v>
      </c>
      <c r="F465" s="52">
        <v>2.2799999999999998</v>
      </c>
    </row>
    <row r="466" spans="1:6" x14ac:dyDescent="0.35">
      <c r="A466" s="49" t="s">
        <v>656</v>
      </c>
      <c r="B466" s="49" t="s">
        <v>1274</v>
      </c>
      <c r="C466" s="49" t="str">
        <f t="shared" si="7"/>
        <v>43079-01_SD2</v>
      </c>
      <c r="D466" s="51">
        <v>2.5994999999999999</v>
      </c>
      <c r="E466" s="51">
        <v>2.6295000000000002</v>
      </c>
      <c r="F466" s="52">
        <v>1.145</v>
      </c>
    </row>
    <row r="467" spans="1:6" x14ac:dyDescent="0.35">
      <c r="A467" s="49" t="s">
        <v>656</v>
      </c>
      <c r="B467" s="49" t="s">
        <v>1273</v>
      </c>
      <c r="C467" s="49" t="str">
        <f t="shared" si="7"/>
        <v>43079-01_SD5</v>
      </c>
      <c r="D467" s="51">
        <v>2.6019999999999999</v>
      </c>
      <c r="E467" s="51">
        <v>2.6295000000000002</v>
      </c>
      <c r="F467" s="52">
        <v>1.06</v>
      </c>
    </row>
    <row r="468" spans="1:6" x14ac:dyDescent="0.35">
      <c r="A468" s="49" t="s">
        <v>751</v>
      </c>
      <c r="B468" s="49" t="s">
        <v>1279</v>
      </c>
      <c r="C468" s="49" t="str">
        <f t="shared" si="7"/>
        <v>44035-01_004</v>
      </c>
      <c r="D468" s="51">
        <v>2.6093333333333333</v>
      </c>
      <c r="E468" s="51">
        <v>2.653</v>
      </c>
      <c r="F468" s="52">
        <v>1.6733333333333331</v>
      </c>
    </row>
    <row r="469" spans="1:6" x14ac:dyDescent="0.35">
      <c r="A469" s="49" t="s">
        <v>751</v>
      </c>
      <c r="B469" s="49" t="s">
        <v>1272</v>
      </c>
      <c r="C469" s="49" t="str">
        <f t="shared" si="7"/>
        <v>44035-01_057</v>
      </c>
      <c r="D469" s="51">
        <v>2.6334999999999997</v>
      </c>
      <c r="E469" s="51">
        <v>2.6695000000000002</v>
      </c>
      <c r="F469" s="52">
        <v>1.37</v>
      </c>
    </row>
    <row r="470" spans="1:6" x14ac:dyDescent="0.35">
      <c r="A470" s="49" t="s">
        <v>1082</v>
      </c>
      <c r="B470" s="49" t="s">
        <v>1270</v>
      </c>
      <c r="C470" s="49" t="str">
        <f t="shared" si="7"/>
        <v>49061-01_008</v>
      </c>
      <c r="D470" s="51">
        <v>2.5113999999999996</v>
      </c>
      <c r="E470" s="51">
        <v>2.5735999999999999</v>
      </c>
      <c r="F470" s="52">
        <v>2.4840000000000004</v>
      </c>
    </row>
    <row r="471" spans="1:6" x14ac:dyDescent="0.35">
      <c r="A471" s="49" t="s">
        <v>1082</v>
      </c>
      <c r="B471" s="49" t="s">
        <v>1272</v>
      </c>
      <c r="C471" s="49" t="str">
        <f t="shared" si="7"/>
        <v>49061-01_057</v>
      </c>
      <c r="D471" s="51">
        <v>2.504</v>
      </c>
      <c r="E471" s="51">
        <v>2.5642</v>
      </c>
      <c r="F471" s="52">
        <v>2.3999999999999995</v>
      </c>
    </row>
    <row r="472" spans="1:6" x14ac:dyDescent="0.35">
      <c r="A472" s="49" t="s">
        <v>1082</v>
      </c>
      <c r="B472" s="49" t="s">
        <v>1273</v>
      </c>
      <c r="C472" s="49" t="str">
        <f t="shared" si="7"/>
        <v>49061-01_SD5</v>
      </c>
      <c r="D472" s="51">
        <v>2.581</v>
      </c>
      <c r="E472" s="51">
        <v>2.6193333333333335</v>
      </c>
      <c r="F472" s="52">
        <v>1.4866666666666666</v>
      </c>
    </row>
    <row r="473" spans="1:6" x14ac:dyDescent="0.35">
      <c r="A473" s="49" t="s">
        <v>1087</v>
      </c>
      <c r="B473" s="49" t="s">
        <v>1288</v>
      </c>
      <c r="C473" s="49" t="str">
        <f t="shared" si="7"/>
        <v>49064-01_603</v>
      </c>
      <c r="D473" s="51">
        <v>2.5640000000000001</v>
      </c>
      <c r="E473" s="51">
        <v>2.6070000000000002</v>
      </c>
      <c r="F473" s="52">
        <v>1.66</v>
      </c>
    </row>
    <row r="474" spans="1:6" x14ac:dyDescent="0.35">
      <c r="A474" s="49" t="s">
        <v>867</v>
      </c>
      <c r="B474" s="49" t="s">
        <v>1270</v>
      </c>
      <c r="C474" s="49" t="str">
        <f t="shared" si="7"/>
        <v>46037-01_008</v>
      </c>
      <c r="D474" s="51">
        <v>2.6</v>
      </c>
      <c r="E474" s="51">
        <v>2.6542000000000003</v>
      </c>
      <c r="F474" s="52">
        <v>2.0979999999999999</v>
      </c>
    </row>
    <row r="475" spans="1:6" x14ac:dyDescent="0.35">
      <c r="A475" s="49" t="s">
        <v>867</v>
      </c>
      <c r="B475" s="49" t="s">
        <v>1271</v>
      </c>
      <c r="C475" s="49" t="str">
        <f t="shared" si="7"/>
        <v>46037-01_009</v>
      </c>
      <c r="D475" s="51">
        <v>2.5863999999999998</v>
      </c>
      <c r="E475" s="51">
        <v>2.6459999999999999</v>
      </c>
      <c r="F475" s="52">
        <v>2.3139999999999996</v>
      </c>
    </row>
    <row r="476" spans="1:6" x14ac:dyDescent="0.35">
      <c r="A476" s="49" t="s">
        <v>867</v>
      </c>
      <c r="B476" s="49" t="s">
        <v>1272</v>
      </c>
      <c r="C476" s="49" t="str">
        <f t="shared" si="7"/>
        <v>46037-01_057</v>
      </c>
      <c r="D476" s="51">
        <v>2.6147999999999998</v>
      </c>
      <c r="E476" s="51">
        <v>2.6623999999999999</v>
      </c>
      <c r="F476" s="52">
        <v>1.8199999999999998</v>
      </c>
    </row>
    <row r="477" spans="1:6" x14ac:dyDescent="0.35">
      <c r="A477" s="49" t="s">
        <v>867</v>
      </c>
      <c r="B477" s="49" t="s">
        <v>1274</v>
      </c>
      <c r="C477" s="49" t="str">
        <f t="shared" si="7"/>
        <v>46037-01_SD2</v>
      </c>
      <c r="D477" s="51">
        <v>2.6149999999999998</v>
      </c>
      <c r="E477" s="51">
        <v>2.6596666666666664</v>
      </c>
      <c r="F477" s="52">
        <v>1.7133333333333332</v>
      </c>
    </row>
    <row r="478" spans="1:6" x14ac:dyDescent="0.35">
      <c r="A478" s="49" t="s">
        <v>810</v>
      </c>
      <c r="B478" s="49" t="s">
        <v>1270</v>
      </c>
      <c r="C478" s="49" t="str">
        <f t="shared" si="7"/>
        <v>45026-01_008</v>
      </c>
      <c r="D478" s="51">
        <v>2.5975999999999999</v>
      </c>
      <c r="E478" s="51">
        <v>2.6444000000000001</v>
      </c>
      <c r="F478" s="52">
        <v>1.7939999999999998</v>
      </c>
    </row>
    <row r="479" spans="1:6" x14ac:dyDescent="0.35">
      <c r="A479" s="49" t="s">
        <v>810</v>
      </c>
      <c r="B479" s="49" t="s">
        <v>1271</v>
      </c>
      <c r="C479" s="49" t="str">
        <f t="shared" si="7"/>
        <v>45026-01_009</v>
      </c>
      <c r="D479" s="51">
        <v>2.5803333333333334</v>
      </c>
      <c r="E479" s="51">
        <v>2.6363333333333334</v>
      </c>
      <c r="F479" s="52">
        <v>2.1599999999999997</v>
      </c>
    </row>
    <row r="480" spans="1:6" x14ac:dyDescent="0.35">
      <c r="A480" s="49" t="s">
        <v>810</v>
      </c>
      <c r="B480" s="49" t="s">
        <v>1272</v>
      </c>
      <c r="C480" s="49" t="str">
        <f t="shared" si="7"/>
        <v>45026-01_057</v>
      </c>
      <c r="D480" s="51">
        <v>2.629</v>
      </c>
      <c r="E480" s="51">
        <v>2.6680000000000001</v>
      </c>
      <c r="F480" s="52">
        <v>1.4819999999999998</v>
      </c>
    </row>
    <row r="481" spans="1:6" x14ac:dyDescent="0.35">
      <c r="A481" s="49" t="s">
        <v>810</v>
      </c>
      <c r="B481" s="49" t="s">
        <v>1274</v>
      </c>
      <c r="C481" s="49" t="str">
        <f t="shared" si="7"/>
        <v>45026-01_SD2</v>
      </c>
      <c r="D481" s="51">
        <v>2.5966</v>
      </c>
      <c r="E481" s="51">
        <v>2.6395999999999997</v>
      </c>
      <c r="F481" s="52">
        <v>1.6519999999999999</v>
      </c>
    </row>
    <row r="482" spans="1:6" x14ac:dyDescent="0.35">
      <c r="A482" s="49" t="s">
        <v>753</v>
      </c>
      <c r="B482" s="49" t="s">
        <v>1279</v>
      </c>
      <c r="C482" s="49" t="str">
        <f t="shared" si="7"/>
        <v>44036-01_004</v>
      </c>
      <c r="D482" s="51">
        <v>2.5465</v>
      </c>
      <c r="E482" s="51">
        <v>2.5884999999999998</v>
      </c>
      <c r="F482" s="52">
        <v>1.655</v>
      </c>
    </row>
    <row r="483" spans="1:6" x14ac:dyDescent="0.35">
      <c r="A483" s="49" t="s">
        <v>753</v>
      </c>
      <c r="B483" s="49" t="s">
        <v>1270</v>
      </c>
      <c r="C483" s="49" t="str">
        <f t="shared" si="7"/>
        <v>44036-01_008</v>
      </c>
      <c r="D483" s="51">
        <v>2.5329999999999999</v>
      </c>
      <c r="E483" s="51">
        <v>2.5819999999999999</v>
      </c>
      <c r="F483" s="52">
        <v>1.9249999999999998</v>
      </c>
    </row>
    <row r="484" spans="1:6" x14ac:dyDescent="0.35">
      <c r="A484" s="49" t="s">
        <v>753</v>
      </c>
      <c r="B484" s="49" t="s">
        <v>1272</v>
      </c>
      <c r="C484" s="49" t="str">
        <f t="shared" si="7"/>
        <v>44036-01_057</v>
      </c>
      <c r="D484" s="51">
        <v>2.5555999999999996</v>
      </c>
      <c r="E484" s="51">
        <v>2.5960000000000001</v>
      </c>
      <c r="F484" s="52">
        <v>1.5779999999999998</v>
      </c>
    </row>
    <row r="485" spans="1:6" x14ac:dyDescent="0.35">
      <c r="A485" s="49" t="s">
        <v>878</v>
      </c>
      <c r="B485" s="49" t="s">
        <v>1270</v>
      </c>
      <c r="C485" s="49" t="str">
        <f t="shared" si="7"/>
        <v>47007-01_008</v>
      </c>
      <c r="D485" s="51">
        <v>2.3772499999999996</v>
      </c>
      <c r="E485" s="51">
        <v>2.4412500000000001</v>
      </c>
      <c r="F485" s="52">
        <v>2.6975000000000002</v>
      </c>
    </row>
    <row r="486" spans="1:6" x14ac:dyDescent="0.35">
      <c r="A486" s="49" t="s">
        <v>878</v>
      </c>
      <c r="B486" s="49" t="s">
        <v>1272</v>
      </c>
      <c r="C486" s="49" t="str">
        <f t="shared" si="7"/>
        <v>47007-01_057</v>
      </c>
      <c r="D486" s="51">
        <v>2.2779999999999996</v>
      </c>
      <c r="E486" s="51">
        <v>2.3305000000000002</v>
      </c>
      <c r="F486" s="52">
        <v>2.29</v>
      </c>
    </row>
    <row r="487" spans="1:6" x14ac:dyDescent="0.35">
      <c r="A487" s="49" t="s">
        <v>878</v>
      </c>
      <c r="B487" s="49" t="s">
        <v>1273</v>
      </c>
      <c r="C487" s="49" t="str">
        <f t="shared" si="7"/>
        <v>47007-01_SD5</v>
      </c>
      <c r="D487" s="51">
        <v>2.6577500000000001</v>
      </c>
      <c r="E487" s="51">
        <v>2.6935000000000002</v>
      </c>
      <c r="F487" s="52">
        <v>1.3525</v>
      </c>
    </row>
    <row r="488" spans="1:6" x14ac:dyDescent="0.35">
      <c r="A488" s="49" t="s">
        <v>794</v>
      </c>
      <c r="B488" s="49" t="s">
        <v>1279</v>
      </c>
      <c r="C488" s="49" t="str">
        <f t="shared" si="7"/>
        <v>45011-01_004</v>
      </c>
      <c r="D488" s="51">
        <v>2.6176666666666666</v>
      </c>
      <c r="E488" s="51">
        <v>2.6606666666666667</v>
      </c>
      <c r="F488" s="52">
        <v>1.6466666666666665</v>
      </c>
    </row>
    <row r="489" spans="1:6" x14ac:dyDescent="0.35">
      <c r="A489" s="49" t="s">
        <v>794</v>
      </c>
      <c r="B489" s="49" t="s">
        <v>1270</v>
      </c>
      <c r="C489" s="49" t="str">
        <f t="shared" si="7"/>
        <v>45011-01_008</v>
      </c>
      <c r="D489" s="51">
        <v>2.6088</v>
      </c>
      <c r="E489" s="51">
        <v>2.6664000000000003</v>
      </c>
      <c r="F489" s="52">
        <v>2.21</v>
      </c>
    </row>
    <row r="490" spans="1:6" x14ac:dyDescent="0.35">
      <c r="A490" s="49" t="s">
        <v>794</v>
      </c>
      <c r="B490" s="49" t="s">
        <v>1271</v>
      </c>
      <c r="C490" s="49" t="str">
        <f t="shared" si="7"/>
        <v>45011-01_009</v>
      </c>
      <c r="D490" s="51">
        <v>2.5797499999999998</v>
      </c>
      <c r="E490" s="51">
        <v>2.64825</v>
      </c>
      <c r="F490" s="52">
        <v>2.6425000000000001</v>
      </c>
    </row>
    <row r="491" spans="1:6" x14ac:dyDescent="0.35">
      <c r="A491" s="49" t="s">
        <v>794</v>
      </c>
      <c r="B491" s="49" t="s">
        <v>1276</v>
      </c>
      <c r="C491" s="49" t="str">
        <f t="shared" si="7"/>
        <v>45011-01_010</v>
      </c>
      <c r="D491" s="51">
        <v>2.625</v>
      </c>
      <c r="E491" s="51">
        <v>2.681</v>
      </c>
      <c r="F491" s="52">
        <v>2.1224999999999996</v>
      </c>
    </row>
    <row r="492" spans="1:6" x14ac:dyDescent="0.35">
      <c r="A492" s="49" t="s">
        <v>794</v>
      </c>
      <c r="B492" s="49" t="s">
        <v>1272</v>
      </c>
      <c r="C492" s="49" t="str">
        <f t="shared" si="7"/>
        <v>45011-01_057</v>
      </c>
      <c r="D492" s="51">
        <v>2.621</v>
      </c>
      <c r="E492" s="51">
        <v>2.6657999999999999</v>
      </c>
      <c r="F492" s="52">
        <v>1.718</v>
      </c>
    </row>
    <row r="493" spans="1:6" x14ac:dyDescent="0.35">
      <c r="A493" s="49" t="s">
        <v>794</v>
      </c>
      <c r="B493" s="49" t="s">
        <v>1273</v>
      </c>
      <c r="C493" s="49" t="str">
        <f t="shared" si="7"/>
        <v>45011-01_SD5</v>
      </c>
      <c r="D493" s="51">
        <v>2.6016666666666666</v>
      </c>
      <c r="E493" s="51">
        <v>2.665</v>
      </c>
      <c r="F493" s="52">
        <v>2.4166666666666665</v>
      </c>
    </row>
    <row r="494" spans="1:6" x14ac:dyDescent="0.35">
      <c r="A494" s="49" t="s">
        <v>1009</v>
      </c>
      <c r="B494" s="49" t="s">
        <v>1290</v>
      </c>
      <c r="C494" s="49" t="str">
        <f t="shared" si="7"/>
        <v>48022-01_SD5M</v>
      </c>
      <c r="D494" s="51">
        <v>2.5390000000000001</v>
      </c>
      <c r="E494" s="51">
        <v>2.5920000000000001</v>
      </c>
      <c r="F494" s="52">
        <v>2.09</v>
      </c>
    </row>
    <row r="495" spans="1:6" x14ac:dyDescent="0.35">
      <c r="A495" s="49" t="s">
        <v>1015</v>
      </c>
      <c r="B495" s="49" t="s">
        <v>1272</v>
      </c>
      <c r="C495" s="49" t="str">
        <f t="shared" si="7"/>
        <v>48036-01_057</v>
      </c>
      <c r="D495" s="51">
        <v>2.5760000000000001</v>
      </c>
      <c r="E495" s="51">
        <v>2.649</v>
      </c>
      <c r="F495" s="52">
        <v>2.81</v>
      </c>
    </row>
    <row r="496" spans="1:6" x14ac:dyDescent="0.35">
      <c r="A496" s="49" t="s">
        <v>1015</v>
      </c>
      <c r="B496" s="49" t="s">
        <v>1273</v>
      </c>
      <c r="C496" s="49" t="str">
        <f t="shared" si="7"/>
        <v>48036-01_SD5</v>
      </c>
      <c r="D496" s="51">
        <v>2.5813333333333333</v>
      </c>
      <c r="E496" s="51">
        <v>2.6676666666666669</v>
      </c>
      <c r="F496" s="52">
        <v>3.313333333333333</v>
      </c>
    </row>
    <row r="497" spans="1:6" x14ac:dyDescent="0.35">
      <c r="A497" s="49" t="s">
        <v>889</v>
      </c>
      <c r="B497" s="49" t="s">
        <v>1279</v>
      </c>
      <c r="C497" s="49" t="str">
        <f t="shared" si="7"/>
        <v>47021-01_004</v>
      </c>
      <c r="D497" s="51">
        <v>2.536</v>
      </c>
      <c r="E497" s="51">
        <v>2.583333333333333</v>
      </c>
      <c r="F497" s="52">
        <v>1.8666666666666665</v>
      </c>
    </row>
    <row r="498" spans="1:6" x14ac:dyDescent="0.35">
      <c r="A498" s="49" t="s">
        <v>889</v>
      </c>
      <c r="B498" s="49" t="s">
        <v>1270</v>
      </c>
      <c r="C498" s="49" t="str">
        <f t="shared" si="7"/>
        <v>47021-01_008</v>
      </c>
      <c r="D498" s="51">
        <v>2.5690000000000004</v>
      </c>
      <c r="E498" s="51">
        <v>2.6243333333333334</v>
      </c>
      <c r="F498" s="52">
        <v>2.15</v>
      </c>
    </row>
    <row r="499" spans="1:6" x14ac:dyDescent="0.35">
      <c r="A499" s="49" t="s">
        <v>889</v>
      </c>
      <c r="B499" s="49" t="s">
        <v>1271</v>
      </c>
      <c r="C499" s="49" t="str">
        <f t="shared" si="7"/>
        <v>47021-01_009</v>
      </c>
      <c r="D499" s="51">
        <v>2.5739999999999998</v>
      </c>
      <c r="E499" s="51">
        <v>2.6449999999999996</v>
      </c>
      <c r="F499" s="52">
        <v>2.7566666666666664</v>
      </c>
    </row>
    <row r="500" spans="1:6" x14ac:dyDescent="0.35">
      <c r="A500" s="49" t="s">
        <v>889</v>
      </c>
      <c r="B500" s="49" t="s">
        <v>1276</v>
      </c>
      <c r="C500" s="49" t="str">
        <f t="shared" si="7"/>
        <v>47021-01_010</v>
      </c>
      <c r="D500" s="51">
        <v>2.7506666666666661</v>
      </c>
      <c r="E500" s="51">
        <v>2.7629999999999999</v>
      </c>
      <c r="F500" s="52">
        <v>0.4466666666666666</v>
      </c>
    </row>
    <row r="501" spans="1:6" x14ac:dyDescent="0.35">
      <c r="A501" s="49" t="s">
        <v>889</v>
      </c>
      <c r="B501" s="49" t="s">
        <v>1272</v>
      </c>
      <c r="C501" s="49" t="str">
        <f t="shared" si="7"/>
        <v>47021-01_057</v>
      </c>
      <c r="D501" s="51">
        <v>2.5517500000000002</v>
      </c>
      <c r="E501" s="51">
        <v>2.6085000000000003</v>
      </c>
      <c r="F501" s="52">
        <v>2.2199999999999998</v>
      </c>
    </row>
    <row r="502" spans="1:6" x14ac:dyDescent="0.35">
      <c r="A502" s="49" t="s">
        <v>889</v>
      </c>
      <c r="B502" s="49" t="s">
        <v>1285</v>
      </c>
      <c r="C502" s="49" t="str">
        <f t="shared" si="7"/>
        <v>47021-01_067</v>
      </c>
      <c r="D502" s="51">
        <v>2.5625</v>
      </c>
      <c r="E502" s="51">
        <v>2.6180000000000003</v>
      </c>
      <c r="F502" s="52">
        <v>2.16</v>
      </c>
    </row>
    <row r="503" spans="1:6" x14ac:dyDescent="0.35">
      <c r="A503" s="49" t="s">
        <v>889</v>
      </c>
      <c r="B503" s="49" t="s">
        <v>1302</v>
      </c>
      <c r="C503" s="49" t="str">
        <f t="shared" si="7"/>
        <v>47021-01_078</v>
      </c>
      <c r="D503" s="51">
        <v>2.5763333333333338</v>
      </c>
      <c r="E503" s="51">
        <v>2.6280000000000001</v>
      </c>
      <c r="F503" s="52">
        <v>2.0066666666666664</v>
      </c>
    </row>
    <row r="504" spans="1:6" x14ac:dyDescent="0.35">
      <c r="A504" s="49" t="s">
        <v>889</v>
      </c>
      <c r="B504" s="49" t="s">
        <v>1299</v>
      </c>
      <c r="C504" s="49" t="str">
        <f t="shared" si="7"/>
        <v>47021-01_467</v>
      </c>
      <c r="D504" s="51">
        <v>2.5499999999999998</v>
      </c>
      <c r="E504" s="51">
        <v>2.6020000000000003</v>
      </c>
      <c r="F504" s="52">
        <v>2.0249999999999999</v>
      </c>
    </row>
    <row r="505" spans="1:6" x14ac:dyDescent="0.35">
      <c r="A505" s="49" t="s">
        <v>889</v>
      </c>
      <c r="B505" s="54" t="s">
        <v>1303</v>
      </c>
      <c r="C505" s="49" t="str">
        <f t="shared" si="7"/>
        <v>47021-01_67</v>
      </c>
      <c r="D505" s="51">
        <v>2.5470000000000002</v>
      </c>
      <c r="E505" s="51">
        <v>2.5950000000000002</v>
      </c>
      <c r="F505" s="52">
        <v>1.88</v>
      </c>
    </row>
    <row r="506" spans="1:6" x14ac:dyDescent="0.35">
      <c r="A506" s="49" t="s">
        <v>889</v>
      </c>
      <c r="B506" s="49" t="s">
        <v>1273</v>
      </c>
      <c r="C506" s="49" t="str">
        <f t="shared" si="7"/>
        <v>47021-01_SD5</v>
      </c>
      <c r="D506" s="51">
        <v>2.7229999999999999</v>
      </c>
      <c r="E506" s="51">
        <v>2.7484999999999999</v>
      </c>
      <c r="F506" s="52">
        <v>0.93</v>
      </c>
    </row>
    <row r="507" spans="1:6" x14ac:dyDescent="0.35">
      <c r="A507" s="49" t="s">
        <v>891</v>
      </c>
      <c r="B507" s="49" t="s">
        <v>1274</v>
      </c>
      <c r="C507" s="49" t="str">
        <f t="shared" si="7"/>
        <v>47023-01_SD2</v>
      </c>
      <c r="D507" s="51">
        <v>2.6226666666666665</v>
      </c>
      <c r="E507" s="51">
        <v>2.6566666666666667</v>
      </c>
      <c r="F507" s="52">
        <v>1.2933333333333334</v>
      </c>
    </row>
    <row r="508" spans="1:6" x14ac:dyDescent="0.35">
      <c r="A508" s="49" t="s">
        <v>837</v>
      </c>
      <c r="B508" s="49" t="s">
        <v>1274</v>
      </c>
      <c r="C508" s="49" t="str">
        <f t="shared" si="7"/>
        <v>46012-01_SD2</v>
      </c>
      <c r="D508" s="51">
        <v>2.613</v>
      </c>
      <c r="E508" s="51">
        <v>2.6587499999999999</v>
      </c>
      <c r="F508" s="52">
        <v>1.7349999999999999</v>
      </c>
    </row>
    <row r="509" spans="1:6" x14ac:dyDescent="0.35">
      <c r="A509" s="49" t="s">
        <v>1034</v>
      </c>
      <c r="B509" s="49" t="s">
        <v>1283</v>
      </c>
      <c r="C509" s="49" t="str">
        <f t="shared" si="7"/>
        <v>48051-01_006</v>
      </c>
      <c r="D509" s="51">
        <v>2.6619999999999999</v>
      </c>
      <c r="E509" s="51">
        <v>2.6779999999999999</v>
      </c>
      <c r="F509" s="52">
        <v>0.61</v>
      </c>
    </row>
    <row r="510" spans="1:6" x14ac:dyDescent="0.35">
      <c r="A510" s="49" t="s">
        <v>1034</v>
      </c>
      <c r="B510" s="49" t="s">
        <v>1289</v>
      </c>
      <c r="C510" s="49" t="str">
        <f t="shared" si="7"/>
        <v>48051-01_008M</v>
      </c>
      <c r="D510" s="51">
        <v>2.66</v>
      </c>
      <c r="E510" s="51">
        <v>2.6749999999999998</v>
      </c>
      <c r="F510" s="52">
        <v>0.56000000000000005</v>
      </c>
    </row>
    <row r="511" spans="1:6" x14ac:dyDescent="0.35">
      <c r="A511" s="49" t="s">
        <v>1034</v>
      </c>
      <c r="B511" s="49" t="s">
        <v>1276</v>
      </c>
      <c r="C511" s="49" t="str">
        <f t="shared" si="7"/>
        <v>48051-01_010</v>
      </c>
      <c r="D511" s="51">
        <v>2.6604999999999999</v>
      </c>
      <c r="E511" s="51">
        <v>2.6825000000000001</v>
      </c>
      <c r="F511" s="52">
        <v>0.80499999999999994</v>
      </c>
    </row>
    <row r="512" spans="1:6" x14ac:dyDescent="0.35">
      <c r="A512" s="49" t="s">
        <v>1034</v>
      </c>
      <c r="B512" s="49" t="s">
        <v>1297</v>
      </c>
      <c r="C512" s="49" t="str">
        <f t="shared" si="7"/>
        <v>48051-01_057M</v>
      </c>
      <c r="D512" s="51">
        <v>2.6760000000000002</v>
      </c>
      <c r="E512" s="51">
        <v>2.6859999999999999</v>
      </c>
      <c r="F512" s="52">
        <v>0.36</v>
      </c>
    </row>
    <row r="513" spans="1:6" x14ac:dyDescent="0.35">
      <c r="A513" s="49" t="s">
        <v>1001</v>
      </c>
      <c r="B513" s="49" t="s">
        <v>1289</v>
      </c>
      <c r="C513" s="49" t="str">
        <f t="shared" si="7"/>
        <v>48016-01_008M</v>
      </c>
      <c r="D513" s="51">
        <v>2.5960000000000001</v>
      </c>
      <c r="E513" s="51">
        <v>2.6309999999999998</v>
      </c>
      <c r="F513" s="52">
        <v>1.34</v>
      </c>
    </row>
    <row r="514" spans="1:6" x14ac:dyDescent="0.35">
      <c r="A514" s="49" t="s">
        <v>1001</v>
      </c>
      <c r="B514" s="49" t="s">
        <v>1276</v>
      </c>
      <c r="C514" s="49" t="str">
        <f t="shared" si="7"/>
        <v>48016-01_010</v>
      </c>
      <c r="D514" s="51">
        <v>2.6320000000000001</v>
      </c>
      <c r="E514" s="51">
        <v>2.6615000000000002</v>
      </c>
      <c r="F514" s="52">
        <v>1.1200000000000001</v>
      </c>
    </row>
    <row r="515" spans="1:6" x14ac:dyDescent="0.35">
      <c r="A515" s="49" t="s">
        <v>1001</v>
      </c>
      <c r="B515" s="49" t="s">
        <v>1297</v>
      </c>
      <c r="C515" s="49" t="str">
        <f t="shared" ref="C515:C578" si="8">A515&amp;"_"&amp;B515</f>
        <v>48016-01_057M</v>
      </c>
      <c r="D515" s="51">
        <v>2.6306666666666669</v>
      </c>
      <c r="E515" s="51">
        <v>2.653</v>
      </c>
      <c r="F515" s="52">
        <v>0.8666666666666667</v>
      </c>
    </row>
    <row r="516" spans="1:6" x14ac:dyDescent="0.35">
      <c r="A516" s="49" t="s">
        <v>1052</v>
      </c>
      <c r="B516" s="49" t="s">
        <v>1270</v>
      </c>
      <c r="C516" s="49" t="str">
        <f t="shared" si="8"/>
        <v>49032-01_008</v>
      </c>
      <c r="D516" s="51">
        <v>2.6079999999999997</v>
      </c>
      <c r="E516" s="51">
        <v>2.6459999999999999</v>
      </c>
      <c r="F516" s="52">
        <v>1.4750000000000001</v>
      </c>
    </row>
    <row r="517" spans="1:6" x14ac:dyDescent="0.35">
      <c r="A517" s="49" t="s">
        <v>1052</v>
      </c>
      <c r="B517" s="49" t="s">
        <v>1272</v>
      </c>
      <c r="C517" s="49" t="str">
        <f t="shared" si="8"/>
        <v>49032-01_057</v>
      </c>
      <c r="D517" s="51">
        <v>2.6176666666666666</v>
      </c>
      <c r="E517" s="51">
        <v>2.6509999999999998</v>
      </c>
      <c r="F517" s="52">
        <v>1.2766666666666666</v>
      </c>
    </row>
    <row r="518" spans="1:6" x14ac:dyDescent="0.35">
      <c r="A518" s="49" t="s">
        <v>1052</v>
      </c>
      <c r="B518" s="49" t="s">
        <v>1285</v>
      </c>
      <c r="C518" s="49" t="str">
        <f t="shared" si="8"/>
        <v>49032-01_067</v>
      </c>
      <c r="D518" s="51">
        <v>2.6120000000000001</v>
      </c>
      <c r="E518" s="51">
        <v>2.65</v>
      </c>
      <c r="F518" s="52">
        <v>1.45</v>
      </c>
    </row>
    <row r="519" spans="1:6" x14ac:dyDescent="0.35">
      <c r="A519" s="49" t="s">
        <v>1054</v>
      </c>
      <c r="B519" s="49" t="s">
        <v>1279</v>
      </c>
      <c r="C519" s="49" t="str">
        <f t="shared" si="8"/>
        <v>49033-01_004</v>
      </c>
      <c r="D519" s="51">
        <v>2.6349999999999998</v>
      </c>
      <c r="E519" s="51">
        <v>2.669</v>
      </c>
      <c r="F519" s="52">
        <v>1.3</v>
      </c>
    </row>
    <row r="520" spans="1:6" x14ac:dyDescent="0.35">
      <c r="A520" s="49" t="s">
        <v>934</v>
      </c>
      <c r="B520" s="49" t="s">
        <v>1299</v>
      </c>
      <c r="C520" s="49" t="str">
        <f t="shared" si="8"/>
        <v>47069-01_467</v>
      </c>
      <c r="D520" s="51">
        <v>2.6030000000000002</v>
      </c>
      <c r="E520" s="51">
        <v>2.6320000000000001</v>
      </c>
      <c r="F520" s="52">
        <v>1.1399999999999999</v>
      </c>
    </row>
    <row r="521" spans="1:6" x14ac:dyDescent="0.35">
      <c r="A521" s="49" t="s">
        <v>551</v>
      </c>
      <c r="B521" s="49" t="s">
        <v>1279</v>
      </c>
      <c r="C521" s="49" t="str">
        <f t="shared" si="8"/>
        <v>42002-01_004</v>
      </c>
      <c r="D521" s="51">
        <v>2.524</v>
      </c>
      <c r="E521" s="51">
        <v>2.585</v>
      </c>
      <c r="F521" s="52">
        <v>2.395</v>
      </c>
    </row>
    <row r="522" spans="1:6" x14ac:dyDescent="0.35">
      <c r="A522" s="49" t="s">
        <v>551</v>
      </c>
      <c r="B522" s="49" t="s">
        <v>1280</v>
      </c>
      <c r="C522" s="49" t="str">
        <f t="shared" si="8"/>
        <v>42002-01_007M</v>
      </c>
      <c r="D522" s="51">
        <v>2.5266666666666668</v>
      </c>
      <c r="E522" s="51">
        <v>2.5926666666666667</v>
      </c>
      <c r="F522" s="52">
        <v>2.6233333333333331</v>
      </c>
    </row>
    <row r="523" spans="1:6" x14ac:dyDescent="0.35">
      <c r="A523" s="49" t="s">
        <v>551</v>
      </c>
      <c r="B523" s="49" t="s">
        <v>1270</v>
      </c>
      <c r="C523" s="49" t="str">
        <f t="shared" si="8"/>
        <v>42002-01_008</v>
      </c>
      <c r="D523" s="51">
        <v>2.512</v>
      </c>
      <c r="E523" s="51">
        <v>2.585</v>
      </c>
      <c r="F523" s="52">
        <v>2.91</v>
      </c>
    </row>
    <row r="524" spans="1:6" x14ac:dyDescent="0.35">
      <c r="A524" s="49" t="s">
        <v>551</v>
      </c>
      <c r="B524" s="49" t="s">
        <v>1281</v>
      </c>
      <c r="C524" s="49" t="str">
        <f t="shared" si="8"/>
        <v>42002-01_009M</v>
      </c>
      <c r="D524" s="51">
        <v>2.4969999999999999</v>
      </c>
      <c r="E524" s="51">
        <v>2.5816666666666666</v>
      </c>
      <c r="F524" s="52">
        <v>3.3966666666666669</v>
      </c>
    </row>
    <row r="525" spans="1:6" x14ac:dyDescent="0.35">
      <c r="A525" s="49" t="s">
        <v>551</v>
      </c>
      <c r="B525" s="49" t="s">
        <v>1272</v>
      </c>
      <c r="C525" s="49" t="str">
        <f t="shared" si="8"/>
        <v>42002-01_057</v>
      </c>
      <c r="D525" s="51">
        <v>2.5385</v>
      </c>
      <c r="E525" s="51">
        <v>2.59775</v>
      </c>
      <c r="F525" s="52">
        <v>2.3325</v>
      </c>
    </row>
    <row r="526" spans="1:6" x14ac:dyDescent="0.35">
      <c r="A526" s="49" t="s">
        <v>551</v>
      </c>
      <c r="B526" s="49" t="s">
        <v>1285</v>
      </c>
      <c r="C526" s="49" t="str">
        <f t="shared" si="8"/>
        <v>42002-01_067</v>
      </c>
      <c r="D526" s="51">
        <v>2.5235000000000003</v>
      </c>
      <c r="E526" s="51">
        <v>2.5880000000000001</v>
      </c>
      <c r="F526" s="52">
        <v>2.5499999999999998</v>
      </c>
    </row>
    <row r="527" spans="1:6" x14ac:dyDescent="0.35">
      <c r="A527" s="49" t="s">
        <v>551</v>
      </c>
      <c r="B527" s="49" t="s">
        <v>1273</v>
      </c>
      <c r="C527" s="49" t="str">
        <f t="shared" si="8"/>
        <v>42002-01_SD5</v>
      </c>
      <c r="D527" s="51">
        <v>2.5309999999999997</v>
      </c>
      <c r="E527" s="51">
        <v>2.58575</v>
      </c>
      <c r="F527" s="52">
        <v>2.1399999999999997</v>
      </c>
    </row>
    <row r="528" spans="1:6" x14ac:dyDescent="0.35">
      <c r="A528" s="49" t="s">
        <v>785</v>
      </c>
      <c r="B528" s="49" t="s">
        <v>1279</v>
      </c>
      <c r="C528" s="49" t="str">
        <f t="shared" si="8"/>
        <v>45005-01_004</v>
      </c>
      <c r="D528" s="51">
        <v>2.5330000000000004</v>
      </c>
      <c r="E528" s="51">
        <v>2.5880000000000001</v>
      </c>
      <c r="F528" s="52">
        <v>2.16</v>
      </c>
    </row>
    <row r="529" spans="1:6" x14ac:dyDescent="0.35">
      <c r="A529" s="49" t="s">
        <v>785</v>
      </c>
      <c r="B529" s="49" t="s">
        <v>1270</v>
      </c>
      <c r="C529" s="49" t="str">
        <f t="shared" si="8"/>
        <v>45005-01_008</v>
      </c>
      <c r="D529" s="51">
        <v>2.5145</v>
      </c>
      <c r="E529" s="51">
        <v>2.5840000000000001</v>
      </c>
      <c r="F529" s="52">
        <v>2.76</v>
      </c>
    </row>
    <row r="530" spans="1:6" x14ac:dyDescent="0.35">
      <c r="A530" s="49" t="s">
        <v>785</v>
      </c>
      <c r="B530" s="49" t="s">
        <v>1271</v>
      </c>
      <c r="C530" s="49" t="str">
        <f t="shared" si="8"/>
        <v>45005-01_009</v>
      </c>
      <c r="D530" s="51">
        <v>2.5036666666666663</v>
      </c>
      <c r="E530" s="51">
        <v>2.5833333333333335</v>
      </c>
      <c r="F530" s="52">
        <v>3.2033333333333331</v>
      </c>
    </row>
    <row r="531" spans="1:6" x14ac:dyDescent="0.35">
      <c r="A531" s="49" t="s">
        <v>785</v>
      </c>
      <c r="B531" s="49" t="s">
        <v>1272</v>
      </c>
      <c r="C531" s="49" t="str">
        <f t="shared" si="8"/>
        <v>45005-01_057</v>
      </c>
      <c r="D531" s="51">
        <v>2.5342499999999997</v>
      </c>
      <c r="E531" s="51">
        <v>2.593</v>
      </c>
      <c r="F531" s="52">
        <v>2.31</v>
      </c>
    </row>
    <row r="532" spans="1:6" x14ac:dyDescent="0.35">
      <c r="A532" s="49" t="s">
        <v>785</v>
      </c>
      <c r="B532" s="49" t="s">
        <v>1273</v>
      </c>
      <c r="C532" s="49" t="str">
        <f t="shared" si="8"/>
        <v>45005-01_SD5</v>
      </c>
      <c r="D532" s="51">
        <v>2.5430000000000001</v>
      </c>
      <c r="E532" s="51">
        <v>2.6015000000000001</v>
      </c>
      <c r="F532" s="52">
        <v>2.2949999999999999</v>
      </c>
    </row>
    <row r="533" spans="1:6" x14ac:dyDescent="0.35">
      <c r="A533" s="49" t="s">
        <v>417</v>
      </c>
      <c r="B533" s="49" t="s">
        <v>1288</v>
      </c>
      <c r="C533" s="49" t="str">
        <f t="shared" si="8"/>
        <v>40015-01_603</v>
      </c>
      <c r="D533" s="51">
        <v>2.6819999999999999</v>
      </c>
      <c r="E533" s="51">
        <v>2.726</v>
      </c>
      <c r="F533" s="52">
        <v>1.65</v>
      </c>
    </row>
    <row r="534" spans="1:6" x14ac:dyDescent="0.35">
      <c r="A534" s="49" t="s">
        <v>406</v>
      </c>
      <c r="B534" s="49" t="s">
        <v>1279</v>
      </c>
      <c r="C534" s="49" t="str">
        <f t="shared" si="8"/>
        <v>40007-01_004</v>
      </c>
      <c r="D534" s="51">
        <v>2.6880000000000002</v>
      </c>
      <c r="E534" s="51">
        <v>2.7213333333333334</v>
      </c>
      <c r="F534" s="52">
        <v>1.24</v>
      </c>
    </row>
    <row r="535" spans="1:6" x14ac:dyDescent="0.35">
      <c r="A535" s="49" t="s">
        <v>406</v>
      </c>
      <c r="B535" s="49" t="s">
        <v>1280</v>
      </c>
      <c r="C535" s="49" t="str">
        <f t="shared" si="8"/>
        <v>40007-01_007M</v>
      </c>
      <c r="D535" s="51">
        <v>2.6656666666666671</v>
      </c>
      <c r="E535" s="51">
        <v>2.710666666666667</v>
      </c>
      <c r="F535" s="52">
        <v>1.7</v>
      </c>
    </row>
    <row r="536" spans="1:6" x14ac:dyDescent="0.35">
      <c r="A536" s="49" t="s">
        <v>406</v>
      </c>
      <c r="B536" s="49" t="s">
        <v>1270</v>
      </c>
      <c r="C536" s="49" t="str">
        <f t="shared" si="8"/>
        <v>40007-01_008</v>
      </c>
      <c r="D536" s="51">
        <v>2.6687500000000002</v>
      </c>
      <c r="E536" s="51">
        <v>2.7137500000000001</v>
      </c>
      <c r="F536" s="52">
        <v>1.6749999999999998</v>
      </c>
    </row>
    <row r="537" spans="1:6" x14ac:dyDescent="0.35">
      <c r="A537" s="49" t="s">
        <v>406</v>
      </c>
      <c r="B537" s="49" t="s">
        <v>1281</v>
      </c>
      <c r="C537" s="49" t="str">
        <f t="shared" si="8"/>
        <v>40007-01_009M</v>
      </c>
      <c r="D537" s="51">
        <v>2.6506666666666665</v>
      </c>
      <c r="E537" s="51">
        <v>2.7050000000000001</v>
      </c>
      <c r="F537" s="52">
        <v>2.0466666666666664</v>
      </c>
    </row>
    <row r="538" spans="1:6" x14ac:dyDescent="0.35">
      <c r="A538" s="49" t="s">
        <v>406</v>
      </c>
      <c r="B538" s="49" t="s">
        <v>1276</v>
      </c>
      <c r="C538" s="49" t="str">
        <f t="shared" si="8"/>
        <v>40007-01_010</v>
      </c>
      <c r="D538" s="51">
        <v>2.6803333333333335</v>
      </c>
      <c r="E538" s="51">
        <v>2.7300000000000004</v>
      </c>
      <c r="F538" s="52">
        <v>1.8433333333333335</v>
      </c>
    </row>
    <row r="539" spans="1:6" x14ac:dyDescent="0.35">
      <c r="A539" s="49" t="s">
        <v>406</v>
      </c>
      <c r="B539" s="49" t="s">
        <v>1272</v>
      </c>
      <c r="C539" s="49" t="str">
        <f t="shared" si="8"/>
        <v>40007-01_057</v>
      </c>
      <c r="D539" s="51">
        <v>2.6803999999999997</v>
      </c>
      <c r="E539" s="51">
        <v>2.7176</v>
      </c>
      <c r="F539" s="52">
        <v>1.4</v>
      </c>
    </row>
    <row r="540" spans="1:6" x14ac:dyDescent="0.35">
      <c r="A540" s="49" t="s">
        <v>406</v>
      </c>
      <c r="B540" s="49" t="s">
        <v>1273</v>
      </c>
      <c r="C540" s="49" t="str">
        <f t="shared" si="8"/>
        <v>40007-01_SD5</v>
      </c>
      <c r="D540" s="51">
        <v>2.6850000000000001</v>
      </c>
      <c r="E540" s="51">
        <v>2.7319999999999998</v>
      </c>
      <c r="F540" s="52">
        <v>1.7366666666666666</v>
      </c>
    </row>
    <row r="541" spans="1:6" x14ac:dyDescent="0.35">
      <c r="A541" s="49" t="s">
        <v>410</v>
      </c>
      <c r="B541" s="49" t="s">
        <v>1275</v>
      </c>
      <c r="C541" s="49" t="str">
        <f t="shared" si="8"/>
        <v>40008B-01_004M</v>
      </c>
      <c r="D541" s="51">
        <v>2.654666666666667</v>
      </c>
      <c r="E541" s="51">
        <v>2.6850000000000001</v>
      </c>
      <c r="F541" s="52">
        <v>1.1533333333333333</v>
      </c>
    </row>
    <row r="542" spans="1:6" x14ac:dyDescent="0.35">
      <c r="A542" s="49" t="s">
        <v>410</v>
      </c>
      <c r="B542" s="49" t="s">
        <v>1280</v>
      </c>
      <c r="C542" s="49" t="str">
        <f t="shared" si="8"/>
        <v>40008B-01_007M</v>
      </c>
      <c r="D542" s="51">
        <v>2.65</v>
      </c>
      <c r="E542" s="51">
        <v>2.69</v>
      </c>
      <c r="F542" s="52">
        <v>1.51</v>
      </c>
    </row>
    <row r="543" spans="1:6" x14ac:dyDescent="0.35">
      <c r="A543" s="49" t="s">
        <v>410</v>
      </c>
      <c r="B543" s="49" t="s">
        <v>1270</v>
      </c>
      <c r="C543" s="49" t="str">
        <f t="shared" si="8"/>
        <v>40008B-01_008</v>
      </c>
      <c r="D543" s="51">
        <v>2.6521999999999997</v>
      </c>
      <c r="E543" s="51">
        <v>2.6920000000000002</v>
      </c>
      <c r="F543" s="52">
        <v>1.4980000000000002</v>
      </c>
    </row>
    <row r="544" spans="1:6" x14ac:dyDescent="0.35">
      <c r="A544" s="49" t="s">
        <v>410</v>
      </c>
      <c r="B544" s="49" t="s">
        <v>1281</v>
      </c>
      <c r="C544" s="49" t="str">
        <f t="shared" si="8"/>
        <v>40008B-01_009M</v>
      </c>
      <c r="D544" s="51">
        <v>2.6536666666666666</v>
      </c>
      <c r="E544" s="51">
        <v>2.6966666666666668</v>
      </c>
      <c r="F544" s="52">
        <v>1.62</v>
      </c>
    </row>
    <row r="545" spans="1:6" x14ac:dyDescent="0.35">
      <c r="A545" s="49" t="s">
        <v>410</v>
      </c>
      <c r="B545" s="49" t="s">
        <v>1276</v>
      </c>
      <c r="C545" s="49" t="str">
        <f t="shared" si="8"/>
        <v>40008B-01_010</v>
      </c>
      <c r="D545" s="51">
        <v>2.7610000000000001</v>
      </c>
      <c r="E545" s="51">
        <v>2.778</v>
      </c>
      <c r="F545" s="52">
        <v>0.6</v>
      </c>
    </row>
    <row r="546" spans="1:6" x14ac:dyDescent="0.35">
      <c r="A546" s="49" t="s">
        <v>410</v>
      </c>
      <c r="B546" s="49" t="s">
        <v>1272</v>
      </c>
      <c r="C546" s="49" t="str">
        <f t="shared" si="8"/>
        <v>40008B-01_057</v>
      </c>
      <c r="D546" s="51">
        <v>2.6477999999999997</v>
      </c>
      <c r="E546" s="51">
        <v>2.6832000000000003</v>
      </c>
      <c r="F546" s="52">
        <v>1.3280000000000001</v>
      </c>
    </row>
    <row r="547" spans="1:6" x14ac:dyDescent="0.35">
      <c r="A547" s="49" t="s">
        <v>410</v>
      </c>
      <c r="B547" s="49" t="s">
        <v>1273</v>
      </c>
      <c r="C547" s="49" t="str">
        <f t="shared" si="8"/>
        <v>40008B-01_SD5</v>
      </c>
      <c r="D547" s="51">
        <v>2.7426666666666666</v>
      </c>
      <c r="E547" s="51">
        <v>2.7646666666666668</v>
      </c>
      <c r="F547" s="52">
        <v>0.80333333333333334</v>
      </c>
    </row>
    <row r="548" spans="1:6" x14ac:dyDescent="0.35">
      <c r="A548" s="49" t="s">
        <v>796</v>
      </c>
      <c r="B548" s="49" t="s">
        <v>1279</v>
      </c>
      <c r="C548" s="49" t="str">
        <f t="shared" si="8"/>
        <v>45012-01_004</v>
      </c>
      <c r="D548" s="51">
        <v>2.4930000000000003</v>
      </c>
      <c r="E548" s="51">
        <v>2.5580000000000003</v>
      </c>
      <c r="F548" s="52">
        <v>2.6133333333333333</v>
      </c>
    </row>
    <row r="549" spans="1:6" x14ac:dyDescent="0.35">
      <c r="A549" s="49" t="s">
        <v>796</v>
      </c>
      <c r="B549" s="49" t="s">
        <v>1270</v>
      </c>
      <c r="C549" s="49" t="str">
        <f t="shared" si="8"/>
        <v>45012-01_008</v>
      </c>
      <c r="D549" s="51">
        <v>2.4821999999999997</v>
      </c>
      <c r="E549" s="51">
        <v>2.5658000000000003</v>
      </c>
      <c r="F549" s="52">
        <v>3.3599999999999994</v>
      </c>
    </row>
    <row r="550" spans="1:6" x14ac:dyDescent="0.35">
      <c r="A550" s="49" t="s">
        <v>796</v>
      </c>
      <c r="B550" s="49" t="s">
        <v>1281</v>
      </c>
      <c r="C550" s="49" t="str">
        <f t="shared" si="8"/>
        <v>45012-01_009M</v>
      </c>
      <c r="D550" s="51">
        <v>2.5030000000000001</v>
      </c>
      <c r="E550" s="51">
        <v>2.5852499999999998</v>
      </c>
      <c r="F550" s="52">
        <v>3.2850000000000001</v>
      </c>
    </row>
    <row r="551" spans="1:6" x14ac:dyDescent="0.35">
      <c r="A551" s="49" t="s">
        <v>796</v>
      </c>
      <c r="B551" s="49" t="s">
        <v>1272</v>
      </c>
      <c r="C551" s="49" t="str">
        <f t="shared" si="8"/>
        <v>45012-01_057</v>
      </c>
      <c r="D551" s="51">
        <v>2.5349999999999997</v>
      </c>
      <c r="E551" s="51">
        <v>2.5948333333333333</v>
      </c>
      <c r="F551" s="52">
        <v>2.3633333333333333</v>
      </c>
    </row>
    <row r="552" spans="1:6" x14ac:dyDescent="0.35">
      <c r="A552" s="49" t="s">
        <v>796</v>
      </c>
      <c r="B552" s="49" t="s">
        <v>1273</v>
      </c>
      <c r="C552" s="49" t="str">
        <f t="shared" si="8"/>
        <v>45012-01_SD5</v>
      </c>
      <c r="D552" s="51">
        <v>2.5249999999999999</v>
      </c>
      <c r="E552" s="51">
        <v>2.5997500000000002</v>
      </c>
      <c r="F552" s="52">
        <v>2.92</v>
      </c>
    </row>
    <row r="553" spans="1:6" x14ac:dyDescent="0.35">
      <c r="A553" s="49" t="s">
        <v>798</v>
      </c>
      <c r="B553" s="49" t="s">
        <v>1272</v>
      </c>
      <c r="C553" s="49" t="str">
        <f t="shared" si="8"/>
        <v>45012A-01_057</v>
      </c>
      <c r="D553" s="51">
        <v>2.4750000000000001</v>
      </c>
      <c r="E553" s="51">
        <v>2.5510000000000002</v>
      </c>
      <c r="F553" s="52">
        <v>3.0566666666666666</v>
      </c>
    </row>
    <row r="554" spans="1:6" x14ac:dyDescent="0.35">
      <c r="A554" s="49" t="s">
        <v>411</v>
      </c>
      <c r="B554" s="49" t="s">
        <v>1272</v>
      </c>
      <c r="C554" s="49" t="str">
        <f t="shared" si="8"/>
        <v>40011-01_057</v>
      </c>
      <c r="D554" s="51">
        <v>2.6829999999999998</v>
      </c>
      <c r="E554" s="51">
        <v>2.7170000000000001</v>
      </c>
      <c r="F554" s="52">
        <v>1.2700000000000002</v>
      </c>
    </row>
    <row r="555" spans="1:6" x14ac:dyDescent="0.35">
      <c r="A555" s="49" t="s">
        <v>431</v>
      </c>
      <c r="B555" s="49" t="s">
        <v>1279</v>
      </c>
      <c r="C555" s="49" t="str">
        <f t="shared" si="8"/>
        <v>40027-01_004</v>
      </c>
      <c r="D555" s="51">
        <v>2.7123333333333335</v>
      </c>
      <c r="E555" s="51">
        <v>2.7343333333333333</v>
      </c>
      <c r="F555" s="52">
        <v>0.82</v>
      </c>
    </row>
    <row r="556" spans="1:6" x14ac:dyDescent="0.35">
      <c r="A556" s="49" t="s">
        <v>431</v>
      </c>
      <c r="B556" s="49" t="s">
        <v>1270</v>
      </c>
      <c r="C556" s="49" t="str">
        <f t="shared" si="8"/>
        <v>40027-01_008</v>
      </c>
      <c r="D556" s="51">
        <v>2.7013999999999996</v>
      </c>
      <c r="E556" s="51">
        <v>2.7328000000000001</v>
      </c>
      <c r="F556" s="52">
        <v>1.1579999999999999</v>
      </c>
    </row>
    <row r="557" spans="1:6" x14ac:dyDescent="0.35">
      <c r="A557" s="49" t="s">
        <v>431</v>
      </c>
      <c r="B557" s="49" t="s">
        <v>1272</v>
      </c>
      <c r="C557" s="49" t="str">
        <f t="shared" si="8"/>
        <v>40027-01_057</v>
      </c>
      <c r="D557" s="51">
        <v>2.7053333333333334</v>
      </c>
      <c r="E557" s="51">
        <v>2.7318333333333338</v>
      </c>
      <c r="F557" s="52">
        <v>0.9816666666666668</v>
      </c>
    </row>
    <row r="558" spans="1:6" x14ac:dyDescent="0.35">
      <c r="A558" s="49" t="s">
        <v>404</v>
      </c>
      <c r="B558" s="49" t="s">
        <v>1272</v>
      </c>
      <c r="C558" s="49" t="str">
        <f t="shared" si="8"/>
        <v>40006-01_057</v>
      </c>
      <c r="D558" s="51">
        <v>2.6240000000000001</v>
      </c>
      <c r="E558" s="51">
        <v>2.66</v>
      </c>
      <c r="F558" s="52">
        <v>1.36</v>
      </c>
    </row>
    <row r="559" spans="1:6" x14ac:dyDescent="0.35">
      <c r="A559" s="49" t="s">
        <v>433</v>
      </c>
      <c r="B559" s="49" t="s">
        <v>1275</v>
      </c>
      <c r="C559" s="49" t="str">
        <f t="shared" si="8"/>
        <v>40030-01_004M</v>
      </c>
      <c r="D559" s="51">
        <v>2.5860000000000003</v>
      </c>
      <c r="E559" s="51">
        <v>2.6279999999999997</v>
      </c>
      <c r="F559" s="52">
        <v>1.6366666666666667</v>
      </c>
    </row>
    <row r="560" spans="1:6" x14ac:dyDescent="0.35">
      <c r="A560" s="49" t="s">
        <v>433</v>
      </c>
      <c r="B560" s="49" t="s">
        <v>1280</v>
      </c>
      <c r="C560" s="49" t="str">
        <f t="shared" si="8"/>
        <v>40030-01_007M</v>
      </c>
      <c r="D560" s="51">
        <v>2.6059999999999999</v>
      </c>
      <c r="E560" s="51">
        <v>2.653</v>
      </c>
      <c r="F560" s="52">
        <v>1.8</v>
      </c>
    </row>
    <row r="561" spans="1:6" x14ac:dyDescent="0.35">
      <c r="A561" s="49" t="s">
        <v>433</v>
      </c>
      <c r="B561" s="49" t="s">
        <v>1270</v>
      </c>
      <c r="C561" s="49" t="str">
        <f t="shared" si="8"/>
        <v>40030-01_008</v>
      </c>
      <c r="D561" s="51">
        <v>2.6049999999999995</v>
      </c>
      <c r="E561" s="51">
        <v>2.6584000000000003</v>
      </c>
      <c r="F561" s="52">
        <v>2.04</v>
      </c>
    </row>
    <row r="562" spans="1:6" x14ac:dyDescent="0.35">
      <c r="A562" s="49" t="s">
        <v>433</v>
      </c>
      <c r="B562" s="49" t="s">
        <v>1276</v>
      </c>
      <c r="C562" s="49" t="str">
        <f t="shared" si="8"/>
        <v>40030-01_010</v>
      </c>
      <c r="D562" s="51">
        <v>2.7226666666666666</v>
      </c>
      <c r="E562" s="51">
        <v>2.7509999999999999</v>
      </c>
      <c r="F562" s="52">
        <v>1.0466666666666666</v>
      </c>
    </row>
    <row r="563" spans="1:6" x14ac:dyDescent="0.35">
      <c r="A563" s="49" t="s">
        <v>433</v>
      </c>
      <c r="B563" s="49" t="s">
        <v>1272</v>
      </c>
      <c r="C563" s="49" t="str">
        <f t="shared" si="8"/>
        <v>40030-01_057</v>
      </c>
      <c r="D563" s="51">
        <v>2.592714285714286</v>
      </c>
      <c r="E563" s="51">
        <v>2.6415714285714285</v>
      </c>
      <c r="F563" s="52">
        <v>1.887142857142857</v>
      </c>
    </row>
    <row r="564" spans="1:6" x14ac:dyDescent="0.35">
      <c r="A564" s="49" t="s">
        <v>433</v>
      </c>
      <c r="B564" s="49" t="s">
        <v>1297</v>
      </c>
      <c r="C564" s="49" t="str">
        <f t="shared" si="8"/>
        <v>40030-01_057M</v>
      </c>
      <c r="D564" s="51">
        <v>2.5979999999999999</v>
      </c>
      <c r="E564" s="51">
        <v>2.6419999999999999</v>
      </c>
      <c r="F564" s="52">
        <v>1.7</v>
      </c>
    </row>
    <row r="565" spans="1:6" x14ac:dyDescent="0.35">
      <c r="A565" s="49" t="s">
        <v>433</v>
      </c>
      <c r="B565" s="49" t="s">
        <v>1304</v>
      </c>
      <c r="C565" s="49" t="str">
        <f t="shared" si="8"/>
        <v>40030-01_067M</v>
      </c>
      <c r="D565" s="51">
        <v>2.5789999999999997</v>
      </c>
      <c r="E565" s="51">
        <v>2.6345000000000001</v>
      </c>
      <c r="F565" s="52">
        <v>2.145</v>
      </c>
    </row>
    <row r="566" spans="1:6" x14ac:dyDescent="0.35">
      <c r="A566" s="49" t="s">
        <v>433</v>
      </c>
      <c r="B566" s="49" t="s">
        <v>1273</v>
      </c>
      <c r="C566" s="49" t="str">
        <f t="shared" si="8"/>
        <v>40030-01_SD5</v>
      </c>
      <c r="D566" s="51">
        <v>2.7210000000000001</v>
      </c>
      <c r="E566" s="51">
        <v>2.7475000000000001</v>
      </c>
      <c r="F566" s="52">
        <v>0.97499999999999987</v>
      </c>
    </row>
    <row r="567" spans="1:6" x14ac:dyDescent="0.35">
      <c r="A567" s="49" t="s">
        <v>433</v>
      </c>
      <c r="B567" s="49" t="s">
        <v>1290</v>
      </c>
      <c r="C567" s="49" t="str">
        <f t="shared" si="8"/>
        <v>40030-01_SD5M</v>
      </c>
      <c r="D567" s="51">
        <v>2.7240000000000002</v>
      </c>
      <c r="E567" s="51">
        <v>2.7549999999999999</v>
      </c>
      <c r="F567" s="52">
        <v>1.1200000000000001</v>
      </c>
    </row>
    <row r="568" spans="1:6" x14ac:dyDescent="0.35">
      <c r="A568" s="49" t="s">
        <v>806</v>
      </c>
      <c r="B568" s="49" t="s">
        <v>1270</v>
      </c>
      <c r="C568" s="49" t="str">
        <f t="shared" si="8"/>
        <v>45021-01_008</v>
      </c>
      <c r="D568" s="51">
        <v>2.4966666666666666</v>
      </c>
      <c r="E568" s="51">
        <v>2.569</v>
      </c>
      <c r="F568" s="52">
        <v>2.9066666666666667</v>
      </c>
    </row>
    <row r="569" spans="1:6" x14ac:dyDescent="0.35">
      <c r="A569" s="49" t="s">
        <v>806</v>
      </c>
      <c r="B569" s="49" t="s">
        <v>1272</v>
      </c>
      <c r="C569" s="49" t="str">
        <f t="shared" si="8"/>
        <v>45021-01_057</v>
      </c>
      <c r="D569" s="51">
        <v>2.4995000000000003</v>
      </c>
      <c r="E569" s="51">
        <v>2.569</v>
      </c>
      <c r="F569" s="52">
        <v>2.79</v>
      </c>
    </row>
    <row r="570" spans="1:6" x14ac:dyDescent="0.35">
      <c r="A570" s="49" t="s">
        <v>806</v>
      </c>
      <c r="B570" s="49" t="s">
        <v>1296</v>
      </c>
      <c r="C570" s="49" t="str">
        <f t="shared" si="8"/>
        <v>45021-01_089</v>
      </c>
      <c r="D570" s="51">
        <v>2.4824999999999999</v>
      </c>
      <c r="E570" s="51">
        <v>2.5625</v>
      </c>
      <c r="F570" s="52">
        <v>3.25</v>
      </c>
    </row>
    <row r="571" spans="1:6" x14ac:dyDescent="0.35">
      <c r="A571" s="49" t="s">
        <v>806</v>
      </c>
      <c r="B571" s="49" t="s">
        <v>1286</v>
      </c>
      <c r="C571" s="49" t="str">
        <f t="shared" si="8"/>
        <v>45021-01_089M</v>
      </c>
      <c r="D571" s="51">
        <v>2.4780000000000002</v>
      </c>
      <c r="E571" s="51">
        <v>2.5579999999999998</v>
      </c>
      <c r="F571" s="52">
        <v>3.22</v>
      </c>
    </row>
    <row r="572" spans="1:6" x14ac:dyDescent="0.35">
      <c r="A572" s="49" t="s">
        <v>806</v>
      </c>
      <c r="B572" s="49" t="s">
        <v>1274</v>
      </c>
      <c r="C572" s="49" t="str">
        <f t="shared" si="8"/>
        <v>45021-01_SD2</v>
      </c>
      <c r="D572" s="51">
        <v>2.5659999999999998</v>
      </c>
      <c r="E572" s="51">
        <v>2.6179999999999999</v>
      </c>
      <c r="F572" s="52">
        <v>1.99</v>
      </c>
    </row>
    <row r="573" spans="1:6" x14ac:dyDescent="0.35">
      <c r="A573" s="49" t="s">
        <v>806</v>
      </c>
      <c r="B573" s="49" t="s">
        <v>1273</v>
      </c>
      <c r="C573" s="49" t="str">
        <f t="shared" si="8"/>
        <v>45021-01_SD5</v>
      </c>
      <c r="D573" s="51">
        <v>2.5430000000000001</v>
      </c>
      <c r="E573" s="51">
        <v>2.5985</v>
      </c>
      <c r="F573" s="52">
        <v>2.1800000000000002</v>
      </c>
    </row>
    <row r="574" spans="1:6" x14ac:dyDescent="0.35">
      <c r="A574" s="49" t="s">
        <v>819</v>
      </c>
      <c r="B574" s="49" t="s">
        <v>1270</v>
      </c>
      <c r="C574" s="49" t="str">
        <f t="shared" si="8"/>
        <v>45041-01_008</v>
      </c>
      <c r="D574" s="51">
        <v>2.573</v>
      </c>
      <c r="E574" s="51">
        <v>2.6259999999999999</v>
      </c>
      <c r="F574" s="52">
        <v>2.0566666666666666</v>
      </c>
    </row>
    <row r="575" spans="1:6" x14ac:dyDescent="0.35">
      <c r="A575" s="49" t="s">
        <v>819</v>
      </c>
      <c r="B575" s="49" t="s">
        <v>1272</v>
      </c>
      <c r="C575" s="49" t="str">
        <f t="shared" si="8"/>
        <v>45041-01_057</v>
      </c>
      <c r="D575" s="51">
        <v>2.5906666666666669</v>
      </c>
      <c r="E575" s="51">
        <v>2.6366666666666667</v>
      </c>
      <c r="F575" s="52">
        <v>1.7833333333333332</v>
      </c>
    </row>
    <row r="576" spans="1:6" x14ac:dyDescent="0.35">
      <c r="A576" s="49" t="s">
        <v>819</v>
      </c>
      <c r="B576" s="49" t="s">
        <v>1274</v>
      </c>
      <c r="C576" s="49" t="str">
        <f t="shared" si="8"/>
        <v>45041-01_SD2</v>
      </c>
      <c r="D576" s="51">
        <v>2.5920000000000001</v>
      </c>
      <c r="E576" s="51">
        <v>2.6375000000000002</v>
      </c>
      <c r="F576" s="52">
        <v>1.73</v>
      </c>
    </row>
    <row r="577" spans="1:6" x14ac:dyDescent="0.35">
      <c r="A577" s="49" t="s">
        <v>421</v>
      </c>
      <c r="B577" s="49" t="s">
        <v>1296</v>
      </c>
      <c r="C577" s="49" t="str">
        <f t="shared" si="8"/>
        <v>40019-01_089</v>
      </c>
      <c r="D577" s="51">
        <v>2.5110000000000001</v>
      </c>
      <c r="E577" s="51">
        <v>2.5830000000000002</v>
      </c>
      <c r="F577" s="52">
        <v>2.84</v>
      </c>
    </row>
    <row r="578" spans="1:6" x14ac:dyDescent="0.35">
      <c r="A578" s="49" t="s">
        <v>421</v>
      </c>
      <c r="B578" s="49" t="s">
        <v>1274</v>
      </c>
      <c r="C578" s="49" t="str">
        <f t="shared" si="8"/>
        <v>40019-01_SD2</v>
      </c>
      <c r="D578" s="51">
        <v>2.5467500000000003</v>
      </c>
      <c r="E578" s="51">
        <v>2.6012499999999998</v>
      </c>
      <c r="F578" s="52">
        <v>2.11</v>
      </c>
    </row>
    <row r="579" spans="1:6" x14ac:dyDescent="0.35">
      <c r="A579" s="49" t="s">
        <v>421</v>
      </c>
      <c r="B579" s="49" t="s">
        <v>1290</v>
      </c>
      <c r="C579" s="49" t="str">
        <f t="shared" ref="C579:C642" si="9">A579&amp;"_"&amp;B579</f>
        <v>40019-01_SD5M</v>
      </c>
      <c r="D579" s="51">
        <v>2.5215000000000001</v>
      </c>
      <c r="E579" s="51">
        <v>2.5815000000000001</v>
      </c>
      <c r="F579" s="52">
        <v>2.3650000000000002</v>
      </c>
    </row>
    <row r="580" spans="1:6" x14ac:dyDescent="0.35">
      <c r="A580" s="49" t="s">
        <v>865</v>
      </c>
      <c r="B580" s="49" t="s">
        <v>1279</v>
      </c>
      <c r="C580" s="49" t="str">
        <f t="shared" si="9"/>
        <v>46036B-01_004</v>
      </c>
      <c r="D580" s="51">
        <v>2.5799999999999996</v>
      </c>
      <c r="E580" s="51">
        <v>2.6236666666666664</v>
      </c>
      <c r="F580" s="52">
        <v>1.7</v>
      </c>
    </row>
    <row r="581" spans="1:6" x14ac:dyDescent="0.35">
      <c r="A581" s="49" t="s">
        <v>865</v>
      </c>
      <c r="B581" s="49" t="s">
        <v>1270</v>
      </c>
      <c r="C581" s="49" t="str">
        <f t="shared" si="9"/>
        <v>46036B-01_008</v>
      </c>
      <c r="D581" s="51">
        <v>2.601</v>
      </c>
      <c r="E581" s="51">
        <v>2.6527500000000002</v>
      </c>
      <c r="F581" s="52">
        <v>1.98</v>
      </c>
    </row>
    <row r="582" spans="1:6" x14ac:dyDescent="0.35">
      <c r="A582" s="49" t="s">
        <v>865</v>
      </c>
      <c r="B582" s="49" t="s">
        <v>1276</v>
      </c>
      <c r="C582" s="49" t="str">
        <f t="shared" si="9"/>
        <v>46036B-01_010</v>
      </c>
      <c r="D582" s="51">
        <v>2.72525</v>
      </c>
      <c r="E582" s="51">
        <v>2.7527499999999998</v>
      </c>
      <c r="F582" s="52">
        <v>1.0150000000000001</v>
      </c>
    </row>
    <row r="583" spans="1:6" x14ac:dyDescent="0.35">
      <c r="A583" s="49" t="s">
        <v>865</v>
      </c>
      <c r="B583" s="49" t="s">
        <v>1272</v>
      </c>
      <c r="C583" s="49" t="str">
        <f t="shared" si="9"/>
        <v>46036B-01_057</v>
      </c>
      <c r="D583" s="51">
        <v>2.5987499999999999</v>
      </c>
      <c r="E583" s="51">
        <v>2.64175</v>
      </c>
      <c r="F583" s="52">
        <v>1.6600000000000001</v>
      </c>
    </row>
    <row r="584" spans="1:6" x14ac:dyDescent="0.35">
      <c r="A584" s="49" t="s">
        <v>865</v>
      </c>
      <c r="B584" s="49" t="s">
        <v>1273</v>
      </c>
      <c r="C584" s="49" t="str">
        <f t="shared" si="9"/>
        <v>46036B-01_SD5</v>
      </c>
      <c r="D584" s="51">
        <v>2.7149999999999999</v>
      </c>
      <c r="E584" s="51">
        <v>2.7469999999999999</v>
      </c>
      <c r="F584" s="52">
        <v>1.19</v>
      </c>
    </row>
    <row r="585" spans="1:6" x14ac:dyDescent="0.35">
      <c r="A585" s="49" t="s">
        <v>857</v>
      </c>
      <c r="B585" s="49" t="s">
        <v>1270</v>
      </c>
      <c r="C585" s="49" t="str">
        <f t="shared" si="9"/>
        <v>46029-01_008</v>
      </c>
      <c r="D585" s="51">
        <v>2.5923333333333338</v>
      </c>
      <c r="E585" s="51">
        <v>2.6476666666666664</v>
      </c>
      <c r="F585" s="52">
        <v>2.1366666666666667</v>
      </c>
    </row>
    <row r="586" spans="1:6" x14ac:dyDescent="0.35">
      <c r="A586" s="49" t="s">
        <v>857</v>
      </c>
      <c r="B586" s="49" t="s">
        <v>1272</v>
      </c>
      <c r="C586" s="49" t="str">
        <f t="shared" si="9"/>
        <v>46029-01_057</v>
      </c>
      <c r="D586" s="51">
        <v>2.6090000000000004</v>
      </c>
      <c r="E586" s="51">
        <v>2.6573333333333338</v>
      </c>
      <c r="F586" s="52">
        <v>1.8533333333333335</v>
      </c>
    </row>
    <row r="587" spans="1:6" x14ac:dyDescent="0.35">
      <c r="A587" s="49" t="s">
        <v>857</v>
      </c>
      <c r="B587" s="49" t="s">
        <v>1274</v>
      </c>
      <c r="C587" s="49" t="str">
        <f t="shared" si="9"/>
        <v>46029-01_SD2</v>
      </c>
      <c r="D587" s="51">
        <v>2.5996666666666663</v>
      </c>
      <c r="E587" s="51">
        <v>2.653</v>
      </c>
      <c r="F587" s="52">
        <v>2.0333333333333337</v>
      </c>
    </row>
    <row r="588" spans="1:6" x14ac:dyDescent="0.35">
      <c r="A588" s="49" t="s">
        <v>857</v>
      </c>
      <c r="B588" s="49" t="s">
        <v>1273</v>
      </c>
      <c r="C588" s="49" t="str">
        <f t="shared" si="9"/>
        <v>46029-01_SD5</v>
      </c>
      <c r="D588" s="51">
        <v>2.6040000000000001</v>
      </c>
      <c r="E588" s="51">
        <v>2.65</v>
      </c>
      <c r="F588" s="52">
        <v>1.75</v>
      </c>
    </row>
    <row r="589" spans="1:6" x14ac:dyDescent="0.35">
      <c r="A589" s="49" t="s">
        <v>924</v>
      </c>
      <c r="B589" s="49" t="s">
        <v>1274</v>
      </c>
      <c r="C589" s="49" t="str">
        <f t="shared" si="9"/>
        <v>47045-01_SD2</v>
      </c>
      <c r="D589" s="51">
        <v>2.6080000000000001</v>
      </c>
      <c r="E589" s="51">
        <v>2.6312000000000002</v>
      </c>
      <c r="F589" s="52">
        <v>0.88400000000000001</v>
      </c>
    </row>
    <row r="590" spans="1:6" x14ac:dyDescent="0.35">
      <c r="A590" s="49" t="s">
        <v>926</v>
      </c>
      <c r="B590" s="49" t="s">
        <v>1270</v>
      </c>
      <c r="C590" s="49" t="str">
        <f t="shared" si="9"/>
        <v>47045A-01_008</v>
      </c>
      <c r="D590" s="51">
        <v>2.5935999999999999</v>
      </c>
      <c r="E590" s="51">
        <v>2.633</v>
      </c>
      <c r="F590" s="52">
        <v>1.53</v>
      </c>
    </row>
    <row r="591" spans="1:6" x14ac:dyDescent="0.35">
      <c r="A591" s="49" t="s">
        <v>926</v>
      </c>
      <c r="B591" s="49" t="s">
        <v>1272</v>
      </c>
      <c r="C591" s="49" t="str">
        <f t="shared" si="9"/>
        <v>47045A-01_057</v>
      </c>
      <c r="D591" s="51">
        <v>2.6404999999999998</v>
      </c>
      <c r="E591" s="51">
        <v>2.6725000000000003</v>
      </c>
      <c r="F591" s="52">
        <v>1.2250000000000001</v>
      </c>
    </row>
    <row r="592" spans="1:6" x14ac:dyDescent="0.35">
      <c r="A592" s="49" t="s">
        <v>926</v>
      </c>
      <c r="B592" s="49" t="s">
        <v>1285</v>
      </c>
      <c r="C592" s="49" t="str">
        <f t="shared" si="9"/>
        <v>47045A-01_067</v>
      </c>
      <c r="D592" s="51">
        <v>2.6320000000000001</v>
      </c>
      <c r="E592" s="51">
        <v>2.6680000000000001</v>
      </c>
      <c r="F592" s="52">
        <v>1.35</v>
      </c>
    </row>
    <row r="593" spans="1:6" x14ac:dyDescent="0.35">
      <c r="A593" s="49" t="s">
        <v>926</v>
      </c>
      <c r="B593" s="49" t="s">
        <v>1273</v>
      </c>
      <c r="C593" s="49" t="str">
        <f t="shared" si="9"/>
        <v>47045A-01_SD5</v>
      </c>
      <c r="D593" s="51">
        <v>2.5990000000000002</v>
      </c>
      <c r="E593" s="51">
        <v>2.629</v>
      </c>
      <c r="F593" s="52">
        <v>1.17</v>
      </c>
    </row>
    <row r="594" spans="1:6" x14ac:dyDescent="0.35">
      <c r="A594" s="49" t="s">
        <v>893</v>
      </c>
      <c r="B594" s="49" t="s">
        <v>1270</v>
      </c>
      <c r="C594" s="49" t="str">
        <f t="shared" si="9"/>
        <v>47024-01_008</v>
      </c>
      <c r="D594" s="51">
        <v>2.5840000000000001</v>
      </c>
      <c r="E594" s="51">
        <v>2.6320000000000001</v>
      </c>
      <c r="F594" s="52">
        <v>1.85</v>
      </c>
    </row>
    <row r="595" spans="1:6" x14ac:dyDescent="0.35">
      <c r="A595" s="49" t="s">
        <v>893</v>
      </c>
      <c r="B595" s="49" t="s">
        <v>1271</v>
      </c>
      <c r="C595" s="49" t="str">
        <f t="shared" si="9"/>
        <v>47024-01_009</v>
      </c>
      <c r="D595" s="51">
        <v>2.5612500000000002</v>
      </c>
      <c r="E595" s="51">
        <v>2.6114999999999999</v>
      </c>
      <c r="F595" s="52">
        <v>1.9600000000000002</v>
      </c>
    </row>
    <row r="596" spans="1:6" x14ac:dyDescent="0.35">
      <c r="A596" s="49" t="s">
        <v>893</v>
      </c>
      <c r="B596" s="49" t="s">
        <v>1272</v>
      </c>
      <c r="C596" s="49" t="str">
        <f t="shared" si="9"/>
        <v>47024-01_057</v>
      </c>
      <c r="D596" s="51">
        <v>2.6139999999999999</v>
      </c>
      <c r="E596" s="51">
        <v>2.6535000000000002</v>
      </c>
      <c r="F596" s="52">
        <v>1.51</v>
      </c>
    </row>
    <row r="597" spans="1:6" x14ac:dyDescent="0.35">
      <c r="A597" s="49" t="s">
        <v>893</v>
      </c>
      <c r="B597" s="49" t="s">
        <v>1274</v>
      </c>
      <c r="C597" s="49" t="str">
        <f t="shared" si="9"/>
        <v>47024-01_SD2</v>
      </c>
      <c r="D597" s="51">
        <v>2.6080000000000001</v>
      </c>
      <c r="E597" s="51">
        <v>2.6427499999999999</v>
      </c>
      <c r="F597" s="52">
        <v>1.325</v>
      </c>
    </row>
    <row r="598" spans="1:6" x14ac:dyDescent="0.35">
      <c r="A598" s="49" t="s">
        <v>893</v>
      </c>
      <c r="B598" s="49" t="s">
        <v>1273</v>
      </c>
      <c r="C598" s="49" t="str">
        <f t="shared" si="9"/>
        <v>47024-01_SD5</v>
      </c>
      <c r="D598" s="51">
        <v>2.6179999999999999</v>
      </c>
      <c r="E598" s="51">
        <v>2.6480000000000001</v>
      </c>
      <c r="F598" s="52">
        <v>1.1499999999999999</v>
      </c>
    </row>
    <row r="599" spans="1:6" x14ac:dyDescent="0.35">
      <c r="A599" s="49" t="s">
        <v>1005</v>
      </c>
      <c r="B599" s="49" t="s">
        <v>1270</v>
      </c>
      <c r="C599" s="49" t="str">
        <f t="shared" si="9"/>
        <v>48019-01_008</v>
      </c>
      <c r="D599" s="51">
        <v>2.6185</v>
      </c>
      <c r="E599" s="51">
        <v>2.6705000000000001</v>
      </c>
      <c r="F599" s="52">
        <v>1.9824999999999999</v>
      </c>
    </row>
    <row r="600" spans="1:6" x14ac:dyDescent="0.35">
      <c r="A600" s="49" t="s">
        <v>1005</v>
      </c>
      <c r="B600" s="49" t="s">
        <v>1272</v>
      </c>
      <c r="C600" s="49" t="str">
        <f t="shared" si="9"/>
        <v>48019-01_057</v>
      </c>
      <c r="D600" s="51">
        <v>2.6040000000000001</v>
      </c>
      <c r="E600" s="51">
        <v>2.65</v>
      </c>
      <c r="F600" s="52">
        <v>1.7600000000000002</v>
      </c>
    </row>
    <row r="601" spans="1:6" x14ac:dyDescent="0.35">
      <c r="A601" s="49" t="s">
        <v>1005</v>
      </c>
      <c r="B601" s="49" t="s">
        <v>1273</v>
      </c>
      <c r="C601" s="49" t="str">
        <f t="shared" si="9"/>
        <v>48019-01_SD5</v>
      </c>
      <c r="D601" s="51">
        <v>2.6863333333333337</v>
      </c>
      <c r="E601" s="51">
        <v>2.7309999999999999</v>
      </c>
      <c r="F601" s="52">
        <v>1.6499999999999997</v>
      </c>
    </row>
    <row r="602" spans="1:6" x14ac:dyDescent="0.35">
      <c r="A602" s="49" t="s">
        <v>788</v>
      </c>
      <c r="B602" s="49" t="s">
        <v>1280</v>
      </c>
      <c r="C602" s="49" t="str">
        <f t="shared" si="9"/>
        <v>45009-01_007M</v>
      </c>
      <c r="D602" s="51">
        <v>2.621</v>
      </c>
      <c r="E602" s="51">
        <v>2.6630000000000003</v>
      </c>
      <c r="F602" s="52">
        <v>1.6033333333333335</v>
      </c>
    </row>
    <row r="603" spans="1:6" x14ac:dyDescent="0.35">
      <c r="A603" s="49" t="s">
        <v>788</v>
      </c>
      <c r="B603" s="49" t="s">
        <v>1270</v>
      </c>
      <c r="C603" s="49" t="str">
        <f t="shared" si="9"/>
        <v>45009-01_008</v>
      </c>
      <c r="D603" s="51">
        <v>2.6092499999999998</v>
      </c>
      <c r="E603" s="51">
        <v>2.6579999999999999</v>
      </c>
      <c r="F603" s="52">
        <v>1.8624999999999998</v>
      </c>
    </row>
    <row r="604" spans="1:6" x14ac:dyDescent="0.35">
      <c r="A604" s="49" t="s">
        <v>788</v>
      </c>
      <c r="B604" s="49" t="s">
        <v>1276</v>
      </c>
      <c r="C604" s="49" t="str">
        <f t="shared" si="9"/>
        <v>45009-01_010</v>
      </c>
      <c r="D604" s="51">
        <v>2.6006666666666667</v>
      </c>
      <c r="E604" s="51">
        <v>2.6539999999999999</v>
      </c>
      <c r="F604" s="52">
        <v>2.0166666666666662</v>
      </c>
    </row>
    <row r="605" spans="1:6" x14ac:dyDescent="0.35">
      <c r="A605" s="49" t="s">
        <v>788</v>
      </c>
      <c r="B605" s="49" t="s">
        <v>1272</v>
      </c>
      <c r="C605" s="49" t="str">
        <f t="shared" si="9"/>
        <v>45009-01_057</v>
      </c>
      <c r="D605" s="51">
        <v>2.6284999999999998</v>
      </c>
      <c r="E605" s="51">
        <v>2.6679999999999997</v>
      </c>
      <c r="F605" s="52">
        <v>1.4975000000000001</v>
      </c>
    </row>
    <row r="606" spans="1:6" x14ac:dyDescent="0.35">
      <c r="A606" s="49" t="s">
        <v>788</v>
      </c>
      <c r="B606" s="49" t="s">
        <v>1285</v>
      </c>
      <c r="C606" s="49" t="str">
        <f t="shared" si="9"/>
        <v>45009-01_067</v>
      </c>
      <c r="D606" s="51">
        <v>2.63</v>
      </c>
      <c r="E606" s="51">
        <v>2.6684999999999999</v>
      </c>
      <c r="F606" s="52">
        <v>1.49</v>
      </c>
    </row>
    <row r="607" spans="1:6" x14ac:dyDescent="0.35">
      <c r="A607" s="49" t="s">
        <v>788</v>
      </c>
      <c r="B607" s="49" t="s">
        <v>1273</v>
      </c>
      <c r="C607" s="49" t="str">
        <f t="shared" si="9"/>
        <v>45009-01_SD5</v>
      </c>
      <c r="D607" s="51">
        <v>2.589</v>
      </c>
      <c r="E607" s="51">
        <v>2.6325000000000003</v>
      </c>
      <c r="F607" s="52">
        <v>1.675</v>
      </c>
    </row>
    <row r="608" spans="1:6" x14ac:dyDescent="0.35">
      <c r="A608" s="49" t="s">
        <v>791</v>
      </c>
      <c r="B608" s="49" t="s">
        <v>1270</v>
      </c>
      <c r="C608" s="49" t="str">
        <f t="shared" si="9"/>
        <v>45009A-01_008</v>
      </c>
      <c r="D608" s="51">
        <v>2.6118333333333332</v>
      </c>
      <c r="E608" s="51">
        <v>2.6568333333333332</v>
      </c>
      <c r="F608" s="52">
        <v>1.7350000000000001</v>
      </c>
    </row>
    <row r="609" spans="1:6" x14ac:dyDescent="0.35">
      <c r="A609" s="49" t="s">
        <v>791</v>
      </c>
      <c r="B609" s="49" t="s">
        <v>1271</v>
      </c>
      <c r="C609" s="49" t="str">
        <f t="shared" si="9"/>
        <v>45009A-01_009</v>
      </c>
      <c r="D609" s="51">
        <v>2.5693333333333332</v>
      </c>
      <c r="E609" s="51">
        <v>2.6300000000000003</v>
      </c>
      <c r="F609" s="52">
        <v>2.3666666666666667</v>
      </c>
    </row>
    <row r="610" spans="1:6" x14ac:dyDescent="0.35">
      <c r="A610" s="49" t="s">
        <v>791</v>
      </c>
      <c r="B610" s="49" t="s">
        <v>1272</v>
      </c>
      <c r="C610" s="49" t="str">
        <f t="shared" si="9"/>
        <v>45009A-01_057</v>
      </c>
      <c r="D610" s="51">
        <v>2.6213333333333328</v>
      </c>
      <c r="E610" s="51">
        <v>2.662666666666667</v>
      </c>
      <c r="F610" s="52">
        <v>1.5733333333333333</v>
      </c>
    </row>
    <row r="611" spans="1:6" x14ac:dyDescent="0.35">
      <c r="A611" s="49" t="s">
        <v>791</v>
      </c>
      <c r="B611" s="49" t="s">
        <v>1274</v>
      </c>
      <c r="C611" s="49" t="str">
        <f t="shared" si="9"/>
        <v>45009A-01_SD2</v>
      </c>
      <c r="D611" s="51">
        <v>2.5866666666666664</v>
      </c>
      <c r="E611" s="51">
        <v>2.6296666666666666</v>
      </c>
      <c r="F611" s="52">
        <v>1.6433333333333333</v>
      </c>
    </row>
    <row r="612" spans="1:6" x14ac:dyDescent="0.35">
      <c r="A612" s="49" t="s">
        <v>791</v>
      </c>
      <c r="B612" s="49" t="s">
        <v>1273</v>
      </c>
      <c r="C612" s="49" t="str">
        <f t="shared" si="9"/>
        <v>45009A-01_SD5</v>
      </c>
      <c r="D612" s="51">
        <v>2.6219999999999999</v>
      </c>
      <c r="E612" s="51">
        <v>2.6539999999999999</v>
      </c>
      <c r="F612" s="52">
        <v>1.23</v>
      </c>
    </row>
    <row r="613" spans="1:6" x14ac:dyDescent="0.35">
      <c r="A613" s="49" t="s">
        <v>742</v>
      </c>
      <c r="B613" s="49" t="s">
        <v>1270</v>
      </c>
      <c r="C613" s="49" t="str">
        <f t="shared" si="9"/>
        <v>44020-01_008</v>
      </c>
      <c r="D613" s="51">
        <v>2.5720000000000005</v>
      </c>
      <c r="E613" s="51">
        <v>2.625</v>
      </c>
      <c r="F613" s="52">
        <v>2.06</v>
      </c>
    </row>
    <row r="614" spans="1:6" x14ac:dyDescent="0.35">
      <c r="A614" s="49" t="s">
        <v>742</v>
      </c>
      <c r="B614" s="49" t="s">
        <v>1271</v>
      </c>
      <c r="C614" s="49" t="str">
        <f t="shared" si="9"/>
        <v>44020-01_009</v>
      </c>
      <c r="D614" s="51">
        <v>2.5293333333333337</v>
      </c>
      <c r="E614" s="51">
        <v>2.5980000000000003</v>
      </c>
      <c r="F614" s="52">
        <v>2.7166666666666668</v>
      </c>
    </row>
    <row r="615" spans="1:6" x14ac:dyDescent="0.35">
      <c r="A615" s="49" t="s">
        <v>742</v>
      </c>
      <c r="B615" s="49" t="s">
        <v>1272</v>
      </c>
      <c r="C615" s="49" t="str">
        <f t="shared" si="9"/>
        <v>44020-01_057</v>
      </c>
      <c r="D615" s="51">
        <v>2.595333333333333</v>
      </c>
      <c r="E615" s="51">
        <v>2.6423333333333332</v>
      </c>
      <c r="F615" s="52">
        <v>1.7966666666666669</v>
      </c>
    </row>
    <row r="616" spans="1:6" x14ac:dyDescent="0.35">
      <c r="A616" s="49" t="s">
        <v>742</v>
      </c>
      <c r="B616" s="49" t="s">
        <v>1274</v>
      </c>
      <c r="C616" s="49" t="str">
        <f t="shared" si="9"/>
        <v>44020-01_SD2</v>
      </c>
      <c r="D616" s="51">
        <v>2.5855000000000001</v>
      </c>
      <c r="E616" s="51">
        <v>2.6315</v>
      </c>
      <c r="F616" s="52">
        <v>1.79</v>
      </c>
    </row>
    <row r="617" spans="1:6" x14ac:dyDescent="0.35">
      <c r="A617" s="49" t="s">
        <v>742</v>
      </c>
      <c r="B617" s="49" t="s">
        <v>1273</v>
      </c>
      <c r="C617" s="49" t="str">
        <f t="shared" si="9"/>
        <v>44020-01_SD5</v>
      </c>
      <c r="D617" s="51">
        <v>2.589</v>
      </c>
      <c r="E617" s="51">
        <v>2.6339999999999999</v>
      </c>
      <c r="F617" s="52">
        <v>1.74</v>
      </c>
    </row>
    <row r="618" spans="1:6" x14ac:dyDescent="0.35">
      <c r="A618" s="49" t="s">
        <v>744</v>
      </c>
      <c r="B618" s="49" t="s">
        <v>1272</v>
      </c>
      <c r="C618" s="49" t="str">
        <f t="shared" si="9"/>
        <v>44020A-01_057</v>
      </c>
      <c r="D618" s="51">
        <v>2.6014999999999997</v>
      </c>
      <c r="E618" s="51">
        <v>2.6480000000000001</v>
      </c>
      <c r="F618" s="52">
        <v>1.7850000000000001</v>
      </c>
    </row>
    <row r="619" spans="1:6" x14ac:dyDescent="0.35">
      <c r="A619" s="49" t="s">
        <v>721</v>
      </c>
      <c r="B619" s="49" t="s">
        <v>1270</v>
      </c>
      <c r="C619" s="49" t="str">
        <f t="shared" si="9"/>
        <v>44010-01_008</v>
      </c>
      <c r="D619" s="51">
        <v>2.4866666666666668</v>
      </c>
      <c r="E619" s="51">
        <v>2.5556666666666668</v>
      </c>
      <c r="F619" s="52">
        <v>2.7766666666666668</v>
      </c>
    </row>
    <row r="620" spans="1:6" x14ac:dyDescent="0.35">
      <c r="A620" s="49" t="s">
        <v>721</v>
      </c>
      <c r="B620" s="49" t="s">
        <v>1271</v>
      </c>
      <c r="C620" s="49" t="str">
        <f t="shared" si="9"/>
        <v>44010-01_009</v>
      </c>
      <c r="D620" s="51">
        <v>2.4693333333333336</v>
      </c>
      <c r="E620" s="51">
        <v>2.5449999999999999</v>
      </c>
      <c r="F620" s="52">
        <v>3.06</v>
      </c>
    </row>
    <row r="621" spans="1:6" x14ac:dyDescent="0.35">
      <c r="A621" s="49" t="s">
        <v>721</v>
      </c>
      <c r="B621" s="49" t="s">
        <v>1272</v>
      </c>
      <c r="C621" s="49" t="str">
        <f t="shared" si="9"/>
        <v>44010-01_057</v>
      </c>
      <c r="D621" s="51">
        <v>2.4733333333333336</v>
      </c>
      <c r="E621" s="51">
        <v>2.5433333333333334</v>
      </c>
      <c r="F621" s="52">
        <v>2.8266666666666667</v>
      </c>
    </row>
    <row r="622" spans="1:6" x14ac:dyDescent="0.35">
      <c r="A622" s="49" t="s">
        <v>721</v>
      </c>
      <c r="B622" s="49" t="s">
        <v>1274</v>
      </c>
      <c r="C622" s="49" t="str">
        <f t="shared" si="9"/>
        <v>44010-01_SD2</v>
      </c>
      <c r="D622" s="51">
        <v>2.5726666666666667</v>
      </c>
      <c r="E622" s="51">
        <v>2.6160000000000001</v>
      </c>
      <c r="F622" s="52">
        <v>1.6900000000000002</v>
      </c>
    </row>
    <row r="623" spans="1:6" x14ac:dyDescent="0.35">
      <c r="A623" s="49" t="s">
        <v>725</v>
      </c>
      <c r="B623" s="49" t="s">
        <v>1270</v>
      </c>
      <c r="C623" s="49" t="str">
        <f t="shared" si="9"/>
        <v>44010C-01_008</v>
      </c>
      <c r="D623" s="51">
        <v>2.5569999999999999</v>
      </c>
      <c r="E623" s="51">
        <v>2.613</v>
      </c>
      <c r="F623" s="52">
        <v>2.19</v>
      </c>
    </row>
    <row r="624" spans="1:6" x14ac:dyDescent="0.35">
      <c r="A624" s="49" t="s">
        <v>398</v>
      </c>
      <c r="B624" s="49" t="s">
        <v>1276</v>
      </c>
      <c r="C624" s="49" t="str">
        <f t="shared" si="9"/>
        <v>40004-01_010</v>
      </c>
      <c r="D624" s="51">
        <v>2.66</v>
      </c>
      <c r="E624" s="51">
        <v>2.7090000000000001</v>
      </c>
      <c r="F624" s="52">
        <v>1.83</v>
      </c>
    </row>
    <row r="625" spans="1:6" x14ac:dyDescent="0.35">
      <c r="A625" s="49" t="s">
        <v>401</v>
      </c>
      <c r="B625" s="49" t="s">
        <v>1279</v>
      </c>
      <c r="C625" s="49" t="str">
        <f t="shared" si="9"/>
        <v>40004B-01_004</v>
      </c>
      <c r="D625" s="51">
        <v>2.6123333333333334</v>
      </c>
      <c r="E625" s="51">
        <v>2.6463333333333332</v>
      </c>
      <c r="F625" s="52">
        <v>1.3166666666666667</v>
      </c>
    </row>
    <row r="626" spans="1:6" x14ac:dyDescent="0.35">
      <c r="A626" s="49" t="s">
        <v>401</v>
      </c>
      <c r="B626" s="49" t="s">
        <v>1270</v>
      </c>
      <c r="C626" s="49" t="str">
        <f t="shared" si="9"/>
        <v>40004B-01_008</v>
      </c>
      <c r="D626" s="51">
        <v>2.6275999999999997</v>
      </c>
      <c r="E626" s="51">
        <v>2.6732000000000005</v>
      </c>
      <c r="F626" s="52">
        <v>1.73</v>
      </c>
    </row>
    <row r="627" spans="1:6" x14ac:dyDescent="0.35">
      <c r="A627" s="49" t="s">
        <v>401</v>
      </c>
      <c r="B627" s="49" t="s">
        <v>1271</v>
      </c>
      <c r="C627" s="49" t="str">
        <f t="shared" si="9"/>
        <v>40004B-01_009</v>
      </c>
      <c r="D627" s="51">
        <v>2.6496666666666666</v>
      </c>
      <c r="E627" s="51">
        <v>2.6989999999999998</v>
      </c>
      <c r="F627" s="52">
        <v>1.8499999999999999</v>
      </c>
    </row>
    <row r="628" spans="1:6" x14ac:dyDescent="0.35">
      <c r="A628" s="49" t="s">
        <v>401</v>
      </c>
      <c r="B628" s="49" t="s">
        <v>1276</v>
      </c>
      <c r="C628" s="49" t="str">
        <f t="shared" si="9"/>
        <v>40004B-01_010</v>
      </c>
      <c r="D628" s="51">
        <v>2.7626666666666666</v>
      </c>
      <c r="E628" s="51">
        <v>2.7803333333333331</v>
      </c>
      <c r="F628" s="52">
        <v>0.65</v>
      </c>
    </row>
    <row r="629" spans="1:6" x14ac:dyDescent="0.35">
      <c r="A629" s="49" t="s">
        <v>401</v>
      </c>
      <c r="B629" s="49" t="s">
        <v>1272</v>
      </c>
      <c r="C629" s="49" t="str">
        <f t="shared" si="9"/>
        <v>40004B-01_057</v>
      </c>
      <c r="D629" s="51">
        <v>2.629</v>
      </c>
      <c r="E629" s="51">
        <v>2.6668571428571428</v>
      </c>
      <c r="F629" s="52">
        <v>1.4514285714285715</v>
      </c>
    </row>
    <row r="630" spans="1:6" x14ac:dyDescent="0.35">
      <c r="A630" s="49" t="s">
        <v>401</v>
      </c>
      <c r="B630" s="49" t="s">
        <v>1273</v>
      </c>
      <c r="C630" s="49" t="str">
        <f t="shared" si="9"/>
        <v>40004B-01_SD5</v>
      </c>
      <c r="D630" s="51">
        <v>2.7749999999999999</v>
      </c>
      <c r="E630" s="51">
        <v>2.7873333333333332</v>
      </c>
      <c r="F630" s="52">
        <v>0.45666666666666672</v>
      </c>
    </row>
    <row r="631" spans="1:6" x14ac:dyDescent="0.35">
      <c r="A631" s="49" t="s">
        <v>571</v>
      </c>
      <c r="B631" s="49" t="s">
        <v>1270</v>
      </c>
      <c r="C631" s="49" t="str">
        <f t="shared" si="9"/>
        <v>42015-01_008</v>
      </c>
      <c r="D631" s="51">
        <v>2.5207499999999996</v>
      </c>
      <c r="E631" s="51">
        <v>2.5867499999999999</v>
      </c>
      <c r="F631" s="52">
        <v>2.62</v>
      </c>
    </row>
    <row r="632" spans="1:6" x14ac:dyDescent="0.35">
      <c r="A632" s="49" t="s">
        <v>571</v>
      </c>
      <c r="B632" s="49" t="s">
        <v>1281</v>
      </c>
      <c r="C632" s="49" t="str">
        <f t="shared" si="9"/>
        <v>42015-01_009M</v>
      </c>
      <c r="D632" s="51">
        <v>2.4756666666666667</v>
      </c>
      <c r="E632" s="51">
        <v>2.5379999999999998</v>
      </c>
      <c r="F632" s="52">
        <v>2.5333333333333332</v>
      </c>
    </row>
    <row r="633" spans="1:6" x14ac:dyDescent="0.35">
      <c r="A633" s="49" t="s">
        <v>571</v>
      </c>
      <c r="B633" s="49" t="s">
        <v>1272</v>
      </c>
      <c r="C633" s="49" t="str">
        <f t="shared" si="9"/>
        <v>42015-01_057</v>
      </c>
      <c r="D633" s="51">
        <v>2.4435000000000002</v>
      </c>
      <c r="E633" s="51">
        <v>2.5214999999999996</v>
      </c>
      <c r="F633" s="52">
        <v>3.1749999999999998</v>
      </c>
    </row>
    <row r="634" spans="1:6" x14ac:dyDescent="0.35">
      <c r="A634" s="49" t="s">
        <v>571</v>
      </c>
      <c r="B634" s="49" t="s">
        <v>1274</v>
      </c>
      <c r="C634" s="49" t="str">
        <f t="shared" si="9"/>
        <v>42015-01_SD2</v>
      </c>
      <c r="D634" s="51">
        <v>2.5686000000000004</v>
      </c>
      <c r="E634" s="51">
        <v>2.6122000000000001</v>
      </c>
      <c r="F634" s="52">
        <v>1.6900000000000002</v>
      </c>
    </row>
    <row r="635" spans="1:6" x14ac:dyDescent="0.35">
      <c r="A635" s="49" t="s">
        <v>571</v>
      </c>
      <c r="B635" s="49" t="s">
        <v>1290</v>
      </c>
      <c r="C635" s="49" t="str">
        <f t="shared" si="9"/>
        <v>42015-01_SD5M</v>
      </c>
      <c r="D635" s="51">
        <v>2.5535000000000001</v>
      </c>
      <c r="E635" s="51">
        <v>2.605</v>
      </c>
      <c r="F635" s="52">
        <v>2.0049999999999999</v>
      </c>
    </row>
    <row r="636" spans="1:6" x14ac:dyDescent="0.35">
      <c r="A636" s="49" t="s">
        <v>573</v>
      </c>
      <c r="B636" s="49" t="s">
        <v>1270</v>
      </c>
      <c r="C636" s="49" t="str">
        <f t="shared" si="9"/>
        <v>42015A-01_008</v>
      </c>
      <c r="D636" s="51">
        <v>2.4940000000000002</v>
      </c>
      <c r="E636" s="51">
        <v>2.5680000000000001</v>
      </c>
      <c r="F636" s="52">
        <v>2.99</v>
      </c>
    </row>
    <row r="637" spans="1:6" x14ac:dyDescent="0.35">
      <c r="A637" s="49" t="s">
        <v>816</v>
      </c>
      <c r="B637" s="49" t="s">
        <v>1279</v>
      </c>
      <c r="C637" s="49" t="str">
        <f t="shared" si="9"/>
        <v>45038-01_004</v>
      </c>
      <c r="D637" s="51">
        <v>2.6216666666666666</v>
      </c>
      <c r="E637" s="51">
        <v>2.6560000000000001</v>
      </c>
      <c r="F637" s="52">
        <v>1.3066666666666666</v>
      </c>
    </row>
    <row r="638" spans="1:6" x14ac:dyDescent="0.35">
      <c r="A638" s="49" t="s">
        <v>816</v>
      </c>
      <c r="B638" s="49" t="s">
        <v>1270</v>
      </c>
      <c r="C638" s="49" t="str">
        <f t="shared" si="9"/>
        <v>45038-01_008</v>
      </c>
      <c r="D638" s="51">
        <v>2.5975000000000001</v>
      </c>
      <c r="E638" s="51">
        <v>2.6432500000000001</v>
      </c>
      <c r="F638" s="52">
        <v>1.7549999999999999</v>
      </c>
    </row>
    <row r="639" spans="1:6" x14ac:dyDescent="0.35">
      <c r="A639" s="49" t="s">
        <v>816</v>
      </c>
      <c r="B639" s="49" t="s">
        <v>1276</v>
      </c>
      <c r="C639" s="49" t="str">
        <f t="shared" si="9"/>
        <v>45038-01_010</v>
      </c>
      <c r="D639" s="51">
        <v>2.5843333333333334</v>
      </c>
      <c r="E639" s="51">
        <v>2.6436666666666668</v>
      </c>
      <c r="F639" s="52">
        <v>2.2833333333333332</v>
      </c>
    </row>
    <row r="640" spans="1:6" x14ac:dyDescent="0.35">
      <c r="A640" s="49" t="s">
        <v>816</v>
      </c>
      <c r="B640" s="49" t="s">
        <v>1272</v>
      </c>
      <c r="C640" s="49" t="str">
        <f t="shared" si="9"/>
        <v>45038-01_057</v>
      </c>
      <c r="D640" s="51">
        <v>2.609</v>
      </c>
      <c r="E640" s="51">
        <v>2.6479999999999997</v>
      </c>
      <c r="F640" s="52">
        <v>1.4924999999999999</v>
      </c>
    </row>
    <row r="641" spans="1:6" x14ac:dyDescent="0.35">
      <c r="A641" s="49" t="s">
        <v>816</v>
      </c>
      <c r="B641" s="49" t="s">
        <v>1286</v>
      </c>
      <c r="C641" s="49" t="str">
        <f t="shared" si="9"/>
        <v>45038-01_089M</v>
      </c>
      <c r="D641" s="51">
        <v>2.5933333333333333</v>
      </c>
      <c r="E641" s="51">
        <v>2.6413333333333333</v>
      </c>
      <c r="F641" s="52">
        <v>1.8499999999999999</v>
      </c>
    </row>
    <row r="642" spans="1:6" x14ac:dyDescent="0.35">
      <c r="A642" s="49" t="s">
        <v>816</v>
      </c>
      <c r="B642" s="49" t="s">
        <v>1273</v>
      </c>
      <c r="C642" s="49" t="str">
        <f t="shared" si="9"/>
        <v>45038-01_SD5</v>
      </c>
      <c r="D642" s="51">
        <v>2.6135000000000002</v>
      </c>
      <c r="E642" s="51">
        <v>2.6602499999999996</v>
      </c>
      <c r="F642" s="52">
        <v>1.7650000000000001</v>
      </c>
    </row>
    <row r="643" spans="1:6" x14ac:dyDescent="0.35">
      <c r="A643" s="49" t="s">
        <v>503</v>
      </c>
      <c r="B643" s="49" t="s">
        <v>1270</v>
      </c>
      <c r="C643" s="49" t="str">
        <f t="shared" ref="C643:C706" si="10">A643&amp;"_"&amp;B643</f>
        <v>41044-01_008</v>
      </c>
      <c r="D643" s="51">
        <v>2.9053333333333335</v>
      </c>
      <c r="E643" s="51">
        <v>2.9133333333333336</v>
      </c>
      <c r="F643" s="52">
        <v>0.27</v>
      </c>
    </row>
    <row r="644" spans="1:6" x14ac:dyDescent="0.35">
      <c r="A644" s="49" t="s">
        <v>503</v>
      </c>
      <c r="B644" s="49" t="s">
        <v>1274</v>
      </c>
      <c r="C644" s="49" t="str">
        <f t="shared" si="10"/>
        <v>41044-01_SD2</v>
      </c>
      <c r="D644" s="51">
        <v>2.9169999999999998</v>
      </c>
      <c r="E644" s="51">
        <v>2.9260000000000002</v>
      </c>
      <c r="F644" s="52">
        <v>0.28999999999999998</v>
      </c>
    </row>
    <row r="645" spans="1:6" x14ac:dyDescent="0.35">
      <c r="A645" s="49" t="s">
        <v>503</v>
      </c>
      <c r="B645" s="49" t="s">
        <v>1273</v>
      </c>
      <c r="C645" s="49" t="str">
        <f t="shared" si="10"/>
        <v>41044-01_SD5</v>
      </c>
      <c r="D645" s="51">
        <v>2.8929999999999998</v>
      </c>
      <c r="E645" s="51">
        <v>2.9020000000000001</v>
      </c>
      <c r="F645" s="52">
        <v>0.31</v>
      </c>
    </row>
    <row r="646" spans="1:6" x14ac:dyDescent="0.35">
      <c r="A646" s="49" t="s">
        <v>592</v>
      </c>
      <c r="B646" s="49" t="s">
        <v>1270</v>
      </c>
      <c r="C646" s="49" t="str">
        <f t="shared" si="10"/>
        <v>43006-01_008</v>
      </c>
      <c r="D646" s="51">
        <v>2.5065</v>
      </c>
      <c r="E646" s="51">
        <v>2.5685000000000002</v>
      </c>
      <c r="F646" s="52">
        <v>2.4649999999999999</v>
      </c>
    </row>
    <row r="647" spans="1:6" x14ac:dyDescent="0.35">
      <c r="A647" s="49" t="s">
        <v>592</v>
      </c>
      <c r="B647" s="49" t="s">
        <v>1274</v>
      </c>
      <c r="C647" s="49" t="str">
        <f t="shared" si="10"/>
        <v>43006-01_SD2</v>
      </c>
      <c r="D647" s="51">
        <v>2.6150000000000002</v>
      </c>
      <c r="E647" s="51">
        <v>2.637</v>
      </c>
      <c r="F647" s="52">
        <v>0.83999999999999986</v>
      </c>
    </row>
    <row r="648" spans="1:6" x14ac:dyDescent="0.35">
      <c r="A648" s="49" t="s">
        <v>592</v>
      </c>
      <c r="B648" s="49" t="s">
        <v>1305</v>
      </c>
      <c r="C648" s="49" t="str">
        <f t="shared" si="10"/>
        <v>43006-01_SD3</v>
      </c>
      <c r="D648" s="51">
        <v>2.629</v>
      </c>
      <c r="E648" s="51">
        <v>2.6360000000000001</v>
      </c>
      <c r="F648" s="52">
        <v>0.28999999999999998</v>
      </c>
    </row>
    <row r="649" spans="1:6" x14ac:dyDescent="0.35">
      <c r="A649" s="49" t="s">
        <v>592</v>
      </c>
      <c r="B649" s="49" t="s">
        <v>1273</v>
      </c>
      <c r="C649" s="49" t="str">
        <f t="shared" si="10"/>
        <v>43006-01_SD5</v>
      </c>
      <c r="D649" s="51">
        <v>2.5840000000000001</v>
      </c>
      <c r="E649" s="51">
        <v>2.6080000000000001</v>
      </c>
      <c r="F649" s="52">
        <v>0.94</v>
      </c>
    </row>
    <row r="650" spans="1:6" x14ac:dyDescent="0.35">
      <c r="A650" s="49" t="s">
        <v>614</v>
      </c>
      <c r="B650" s="49" t="s">
        <v>1279</v>
      </c>
      <c r="C650" s="49" t="str">
        <f t="shared" si="10"/>
        <v>43025-01_004</v>
      </c>
      <c r="D650" s="51">
        <v>2.5403333333333333</v>
      </c>
      <c r="E650" s="51">
        <v>2.593</v>
      </c>
      <c r="F650" s="52">
        <v>2.09</v>
      </c>
    </row>
    <row r="651" spans="1:6" x14ac:dyDescent="0.35">
      <c r="A651" s="49" t="s">
        <v>614</v>
      </c>
      <c r="B651" s="49" t="s">
        <v>1270</v>
      </c>
      <c r="C651" s="49" t="str">
        <f t="shared" si="10"/>
        <v>43025-01_008</v>
      </c>
      <c r="D651" s="51">
        <v>2.5294999999999996</v>
      </c>
      <c r="E651" s="51">
        <v>2.5862499999999997</v>
      </c>
      <c r="F651" s="52">
        <v>2.23</v>
      </c>
    </row>
    <row r="652" spans="1:6" x14ac:dyDescent="0.35">
      <c r="A652" s="49" t="s">
        <v>614</v>
      </c>
      <c r="B652" s="49" t="s">
        <v>1284</v>
      </c>
      <c r="C652" s="49" t="str">
        <f t="shared" si="10"/>
        <v>43025-01_010M</v>
      </c>
      <c r="D652" s="51">
        <v>2.6254999999999997</v>
      </c>
      <c r="E652" s="51">
        <v>2.6429999999999998</v>
      </c>
      <c r="F652" s="52">
        <v>0.66500000000000004</v>
      </c>
    </row>
    <row r="653" spans="1:6" x14ac:dyDescent="0.35">
      <c r="A653" s="49" t="s">
        <v>614</v>
      </c>
      <c r="B653" s="49" t="s">
        <v>1272</v>
      </c>
      <c r="C653" s="49" t="str">
        <f t="shared" si="10"/>
        <v>43025-01_057</v>
      </c>
      <c r="D653" s="51">
        <v>2.5387499999999998</v>
      </c>
      <c r="E653" s="51">
        <v>2.5907499999999999</v>
      </c>
      <c r="F653" s="52">
        <v>2.0449999999999999</v>
      </c>
    </row>
    <row r="654" spans="1:6" x14ac:dyDescent="0.35">
      <c r="A654" s="49" t="s">
        <v>614</v>
      </c>
      <c r="B654" s="49" t="s">
        <v>1274</v>
      </c>
      <c r="C654" s="49" t="str">
        <f t="shared" si="10"/>
        <v>43025-01_SD2</v>
      </c>
      <c r="D654" s="51">
        <v>2.6040000000000001</v>
      </c>
      <c r="E654" s="51">
        <v>2.6332500000000003</v>
      </c>
      <c r="F654" s="52">
        <v>1.115</v>
      </c>
    </row>
    <row r="655" spans="1:6" x14ac:dyDescent="0.35">
      <c r="A655" s="49" t="s">
        <v>614</v>
      </c>
      <c r="B655" s="49" t="s">
        <v>1301</v>
      </c>
      <c r="C655" s="49" t="str">
        <f t="shared" si="10"/>
        <v>43025-01_SD3M</v>
      </c>
      <c r="D655" s="51">
        <v>2.6074999999999999</v>
      </c>
      <c r="E655" s="51">
        <v>2.6304999999999996</v>
      </c>
      <c r="F655" s="52">
        <v>0.89999999999999991</v>
      </c>
    </row>
    <row r="656" spans="1:6" x14ac:dyDescent="0.35">
      <c r="A656" s="49" t="s">
        <v>614</v>
      </c>
      <c r="B656" s="49" t="s">
        <v>1273</v>
      </c>
      <c r="C656" s="49" t="str">
        <f t="shared" si="10"/>
        <v>43025-01_SD5</v>
      </c>
      <c r="D656" s="51">
        <v>2.5950000000000002</v>
      </c>
      <c r="E656" s="51">
        <v>2.629</v>
      </c>
      <c r="F656" s="52">
        <v>1.32</v>
      </c>
    </row>
    <row r="657" spans="1:6" x14ac:dyDescent="0.35">
      <c r="A657" s="49" t="s">
        <v>842</v>
      </c>
      <c r="B657" s="49" t="s">
        <v>1270</v>
      </c>
      <c r="C657" s="49" t="str">
        <f t="shared" si="10"/>
        <v>46014-01_008</v>
      </c>
      <c r="D657" s="51">
        <v>2.6231999999999998</v>
      </c>
      <c r="E657" s="51">
        <v>2.6713999999999998</v>
      </c>
      <c r="F657" s="52">
        <v>1.8440000000000001</v>
      </c>
    </row>
    <row r="658" spans="1:6" x14ac:dyDescent="0.35">
      <c r="A658" s="49" t="s">
        <v>842</v>
      </c>
      <c r="B658" s="49" t="s">
        <v>1271</v>
      </c>
      <c r="C658" s="49" t="str">
        <f t="shared" si="10"/>
        <v>46014-01_009</v>
      </c>
      <c r="D658" s="51">
        <v>2.5714999999999999</v>
      </c>
      <c r="E658" s="51">
        <v>2.64</v>
      </c>
      <c r="F658" s="52">
        <v>2.66</v>
      </c>
    </row>
    <row r="659" spans="1:6" x14ac:dyDescent="0.35">
      <c r="A659" s="49" t="s">
        <v>842</v>
      </c>
      <c r="B659" s="49" t="s">
        <v>1272</v>
      </c>
      <c r="C659" s="49" t="str">
        <f t="shared" si="10"/>
        <v>46014-01_057</v>
      </c>
      <c r="D659" s="51">
        <v>2.6399999999999997</v>
      </c>
      <c r="E659" s="51">
        <v>2.6807500000000002</v>
      </c>
      <c r="F659" s="52">
        <v>1.5425</v>
      </c>
    </row>
    <row r="660" spans="1:6" x14ac:dyDescent="0.35">
      <c r="A660" s="49" t="s">
        <v>842</v>
      </c>
      <c r="B660" s="49" t="s">
        <v>1274</v>
      </c>
      <c r="C660" s="49" t="str">
        <f t="shared" si="10"/>
        <v>46014-01_SD2</v>
      </c>
      <c r="D660" s="51">
        <v>2.6430000000000002</v>
      </c>
      <c r="E660" s="51">
        <v>2.6796666666666673</v>
      </c>
      <c r="F660" s="52">
        <v>1.3766666666666667</v>
      </c>
    </row>
    <row r="661" spans="1:6" x14ac:dyDescent="0.35">
      <c r="A661" s="49" t="s">
        <v>895</v>
      </c>
      <c r="B661" s="49" t="s">
        <v>1270</v>
      </c>
      <c r="C661" s="49" t="str">
        <f t="shared" si="10"/>
        <v>47025-01_008</v>
      </c>
      <c r="D661" s="51">
        <v>2.5935999999999999</v>
      </c>
      <c r="E661" s="51">
        <v>2.6444000000000001</v>
      </c>
      <c r="F661" s="52">
        <v>1.964</v>
      </c>
    </row>
    <row r="662" spans="1:6" x14ac:dyDescent="0.35">
      <c r="A662" s="49" t="s">
        <v>895</v>
      </c>
      <c r="B662" s="49" t="s">
        <v>1272</v>
      </c>
      <c r="C662" s="49" t="str">
        <f t="shared" si="10"/>
        <v>47025-01_057</v>
      </c>
      <c r="D662" s="51">
        <v>2.5958000000000001</v>
      </c>
      <c r="E662" s="51">
        <v>2.6444000000000001</v>
      </c>
      <c r="F662" s="52">
        <v>1.8679999999999999</v>
      </c>
    </row>
    <row r="663" spans="1:6" x14ac:dyDescent="0.35">
      <c r="A663" s="49" t="s">
        <v>895</v>
      </c>
      <c r="B663" s="49" t="s">
        <v>1274</v>
      </c>
      <c r="C663" s="49" t="str">
        <f t="shared" si="10"/>
        <v>47025-01_SD2</v>
      </c>
      <c r="D663" s="51">
        <v>2.6185</v>
      </c>
      <c r="E663" s="51">
        <v>2.6550000000000002</v>
      </c>
      <c r="F663" s="52">
        <v>1.3875</v>
      </c>
    </row>
    <row r="664" spans="1:6" x14ac:dyDescent="0.35">
      <c r="A664" s="49" t="s">
        <v>1141</v>
      </c>
      <c r="B664" s="49" t="s">
        <v>1270</v>
      </c>
      <c r="C664" s="49" t="str">
        <f t="shared" si="10"/>
        <v>50064-01_008</v>
      </c>
      <c r="D664" s="51">
        <v>2.3822000000000001</v>
      </c>
      <c r="E664" s="51">
        <v>2.4625999999999997</v>
      </c>
      <c r="F664" s="52">
        <v>3.3619999999999997</v>
      </c>
    </row>
    <row r="665" spans="1:6" x14ac:dyDescent="0.35">
      <c r="A665" s="49" t="s">
        <v>1141</v>
      </c>
      <c r="B665" s="49" t="s">
        <v>1272</v>
      </c>
      <c r="C665" s="49" t="str">
        <f t="shared" si="10"/>
        <v>50064-01_057</v>
      </c>
      <c r="D665" s="51">
        <v>2.382166666666667</v>
      </c>
      <c r="E665" s="51">
        <v>2.464</v>
      </c>
      <c r="F665" s="52">
        <v>3.4233333333333333</v>
      </c>
    </row>
    <row r="666" spans="1:6" x14ac:dyDescent="0.35">
      <c r="A666" s="49" t="s">
        <v>1141</v>
      </c>
      <c r="B666" s="49" t="s">
        <v>1274</v>
      </c>
      <c r="C666" s="49" t="str">
        <f t="shared" si="10"/>
        <v>50064-01_SD2</v>
      </c>
      <c r="D666" s="51">
        <v>2.5471999999999997</v>
      </c>
      <c r="E666" s="51">
        <v>2.5848</v>
      </c>
      <c r="F666" s="52">
        <v>1.4540000000000002</v>
      </c>
    </row>
    <row r="667" spans="1:6" x14ac:dyDescent="0.35">
      <c r="A667" s="49" t="s">
        <v>1141</v>
      </c>
      <c r="B667" s="49" t="s">
        <v>1273</v>
      </c>
      <c r="C667" s="49" t="str">
        <f t="shared" si="10"/>
        <v>50064-01_SD5</v>
      </c>
      <c r="D667" s="51">
        <v>2.6019999999999999</v>
      </c>
      <c r="E667" s="51">
        <v>2.653</v>
      </c>
      <c r="F667" s="52">
        <v>1.97</v>
      </c>
    </row>
    <row r="668" spans="1:6" x14ac:dyDescent="0.35">
      <c r="A668" s="49" t="s">
        <v>1117</v>
      </c>
      <c r="B668" s="49" t="s">
        <v>1270</v>
      </c>
      <c r="C668" s="49" t="str">
        <f t="shared" si="10"/>
        <v>50002-01_008</v>
      </c>
      <c r="D668" s="51">
        <v>2.677</v>
      </c>
      <c r="E668" s="51">
        <v>2.8039999999999998</v>
      </c>
      <c r="F668" s="52">
        <v>4.74</v>
      </c>
    </row>
    <row r="669" spans="1:6" x14ac:dyDescent="0.35">
      <c r="A669" s="49" t="s">
        <v>844</v>
      </c>
      <c r="B669" s="49" t="s">
        <v>1279</v>
      </c>
      <c r="C669" s="49" t="str">
        <f t="shared" si="10"/>
        <v>46015-01_004</v>
      </c>
      <c r="D669" s="51">
        <v>2.7189999999999999</v>
      </c>
      <c r="E669" s="51">
        <v>2.7466666666666661</v>
      </c>
      <c r="F669" s="52">
        <v>1.0266666666666666</v>
      </c>
    </row>
    <row r="670" spans="1:6" x14ac:dyDescent="0.35">
      <c r="A670" s="49" t="s">
        <v>844</v>
      </c>
      <c r="B670" s="49" t="s">
        <v>1270</v>
      </c>
      <c r="C670" s="49" t="str">
        <f t="shared" si="10"/>
        <v>46015-01_008</v>
      </c>
      <c r="D670" s="51">
        <v>2.68275</v>
      </c>
      <c r="E670" s="51">
        <v>2.7227499999999996</v>
      </c>
      <c r="F670" s="52">
        <v>1.4875</v>
      </c>
    </row>
    <row r="671" spans="1:6" x14ac:dyDescent="0.35">
      <c r="A671" s="49" t="s">
        <v>844</v>
      </c>
      <c r="B671" s="49" t="s">
        <v>1281</v>
      </c>
      <c r="C671" s="49" t="str">
        <f t="shared" si="10"/>
        <v>46015-01_009M</v>
      </c>
      <c r="D671" s="51">
        <v>2.6606666666666663</v>
      </c>
      <c r="E671" s="51">
        <v>2.7093333333333334</v>
      </c>
      <c r="F671" s="52">
        <v>1.8366666666666667</v>
      </c>
    </row>
    <row r="672" spans="1:6" x14ac:dyDescent="0.35">
      <c r="A672" s="49" t="s">
        <v>844</v>
      </c>
      <c r="B672" s="49" t="s">
        <v>1276</v>
      </c>
      <c r="C672" s="49" t="str">
        <f t="shared" si="10"/>
        <v>46015-01_010</v>
      </c>
      <c r="D672" s="51">
        <v>2.6926666666666663</v>
      </c>
      <c r="E672" s="51">
        <v>2.7336666666666667</v>
      </c>
      <c r="F672" s="52">
        <v>1.5233333333333334</v>
      </c>
    </row>
    <row r="673" spans="1:6" x14ac:dyDescent="0.35">
      <c r="A673" s="49" t="s">
        <v>844</v>
      </c>
      <c r="B673" s="49" t="s">
        <v>1272</v>
      </c>
      <c r="C673" s="49" t="str">
        <f t="shared" si="10"/>
        <v>46015-01_057</v>
      </c>
      <c r="D673" s="51">
        <v>2.6940000000000004</v>
      </c>
      <c r="E673" s="51">
        <v>2.7279999999999998</v>
      </c>
      <c r="F673" s="52">
        <v>1.27</v>
      </c>
    </row>
    <row r="674" spans="1:6" x14ac:dyDescent="0.35">
      <c r="A674" s="49" t="s">
        <v>844</v>
      </c>
      <c r="B674" s="49" t="s">
        <v>1273</v>
      </c>
      <c r="C674" s="49" t="str">
        <f t="shared" si="10"/>
        <v>46015-01_SD5</v>
      </c>
      <c r="D674" s="51">
        <v>2.7106666666666666</v>
      </c>
      <c r="E674" s="51">
        <v>2.7446666666666668</v>
      </c>
      <c r="F674" s="52">
        <v>1.2433333333333334</v>
      </c>
    </row>
    <row r="675" spans="1:6" x14ac:dyDescent="0.35">
      <c r="A675" s="49" t="s">
        <v>456</v>
      </c>
      <c r="B675" s="49" t="s">
        <v>1272</v>
      </c>
      <c r="C675" s="49" t="str">
        <f t="shared" si="10"/>
        <v>41009-01_057</v>
      </c>
      <c r="D675" s="51">
        <v>2.5895000000000001</v>
      </c>
      <c r="E675" s="51">
        <v>2.6472500000000001</v>
      </c>
      <c r="F675" s="52">
        <v>2.2349999999999999</v>
      </c>
    </row>
    <row r="676" spans="1:6" x14ac:dyDescent="0.35">
      <c r="A676" s="49" t="s">
        <v>497</v>
      </c>
      <c r="B676" s="49" t="s">
        <v>1279</v>
      </c>
      <c r="C676" s="49" t="str">
        <f t="shared" si="10"/>
        <v>41033-01_004</v>
      </c>
      <c r="D676" s="51">
        <v>2.629</v>
      </c>
      <c r="E676" s="51">
        <v>2.6619999999999999</v>
      </c>
      <c r="F676" s="52">
        <v>1.26</v>
      </c>
    </row>
    <row r="677" spans="1:6" x14ac:dyDescent="0.35">
      <c r="A677" s="49" t="s">
        <v>497</v>
      </c>
      <c r="B677" s="49" t="s">
        <v>1270</v>
      </c>
      <c r="C677" s="49" t="str">
        <f t="shared" si="10"/>
        <v>41033-01_008</v>
      </c>
      <c r="D677" s="51">
        <v>2.6512500000000001</v>
      </c>
      <c r="E677" s="51">
        <v>2.6937499999999996</v>
      </c>
      <c r="F677" s="52">
        <v>1.6025</v>
      </c>
    </row>
    <row r="678" spans="1:6" x14ac:dyDescent="0.35">
      <c r="A678" s="49" t="s">
        <v>497</v>
      </c>
      <c r="B678" s="49" t="s">
        <v>1272</v>
      </c>
      <c r="C678" s="49" t="str">
        <f t="shared" si="10"/>
        <v>41033-01_057</v>
      </c>
      <c r="D678" s="51">
        <v>2.609666666666667</v>
      </c>
      <c r="E678" s="51">
        <v>2.65</v>
      </c>
      <c r="F678" s="52">
        <v>1.5516666666666667</v>
      </c>
    </row>
    <row r="679" spans="1:6" x14ac:dyDescent="0.35">
      <c r="A679" s="49" t="s">
        <v>497</v>
      </c>
      <c r="B679" s="49" t="s">
        <v>1273</v>
      </c>
      <c r="C679" s="49" t="str">
        <f t="shared" si="10"/>
        <v>41033-01_SD5</v>
      </c>
      <c r="D679" s="51">
        <v>2.7450000000000001</v>
      </c>
      <c r="E679" s="51">
        <v>2.7759999999999998</v>
      </c>
      <c r="F679" s="52">
        <v>1.125</v>
      </c>
    </row>
    <row r="680" spans="1:6" x14ac:dyDescent="0.35">
      <c r="A680" s="49" t="s">
        <v>745</v>
      </c>
      <c r="B680" s="49" t="s">
        <v>1273</v>
      </c>
      <c r="C680" s="49" t="str">
        <f t="shared" si="10"/>
        <v>44023-01_SD5</v>
      </c>
      <c r="D680" s="51">
        <v>2.6120000000000001</v>
      </c>
      <c r="E680" s="51">
        <v>2.6339999999999999</v>
      </c>
      <c r="F680" s="52">
        <v>0.85</v>
      </c>
    </row>
    <row r="681" spans="1:6" x14ac:dyDescent="0.35">
      <c r="A681" s="49" t="s">
        <v>652</v>
      </c>
      <c r="B681" s="49" t="s">
        <v>1270</v>
      </c>
      <c r="C681" s="49" t="str">
        <f t="shared" si="10"/>
        <v>43077-01_008</v>
      </c>
      <c r="D681" s="51">
        <v>2.5665</v>
      </c>
      <c r="E681" s="51">
        <v>2.6094999999999997</v>
      </c>
      <c r="F681" s="52">
        <v>1.665</v>
      </c>
    </row>
    <row r="682" spans="1:6" x14ac:dyDescent="0.35">
      <c r="A682" s="49" t="s">
        <v>652</v>
      </c>
      <c r="B682" s="49" t="s">
        <v>1274</v>
      </c>
      <c r="C682" s="49" t="str">
        <f t="shared" si="10"/>
        <v>43077-01_SD2</v>
      </c>
      <c r="D682" s="51">
        <v>2.6074999999999999</v>
      </c>
      <c r="E682" s="51">
        <v>2.6310000000000002</v>
      </c>
      <c r="F682" s="52">
        <v>0.90250000000000008</v>
      </c>
    </row>
    <row r="683" spans="1:6" x14ac:dyDescent="0.35">
      <c r="A683" s="49" t="s">
        <v>652</v>
      </c>
      <c r="B683" s="49" t="s">
        <v>1273</v>
      </c>
      <c r="C683" s="49" t="str">
        <f t="shared" si="10"/>
        <v>43077-01_SD5</v>
      </c>
      <c r="D683" s="51">
        <v>2.6349999999999998</v>
      </c>
      <c r="E683" s="51">
        <v>2.65</v>
      </c>
      <c r="F683" s="52">
        <v>0.56000000000000005</v>
      </c>
    </row>
    <row r="684" spans="1:6" x14ac:dyDescent="0.35">
      <c r="A684" s="49" t="s">
        <v>569</v>
      </c>
      <c r="B684" s="49" t="s">
        <v>1270</v>
      </c>
      <c r="C684" s="49" t="str">
        <f t="shared" si="10"/>
        <v>42014-01_008</v>
      </c>
      <c r="D684" s="51">
        <v>2.504</v>
      </c>
      <c r="E684" s="51">
        <v>2.5752499999999996</v>
      </c>
      <c r="F684" s="52">
        <v>2.8499999999999996</v>
      </c>
    </row>
    <row r="685" spans="1:6" x14ac:dyDescent="0.35">
      <c r="A685" s="49" t="s">
        <v>569</v>
      </c>
      <c r="B685" s="49" t="s">
        <v>1272</v>
      </c>
      <c r="C685" s="49" t="str">
        <f t="shared" si="10"/>
        <v>42014-01_057</v>
      </c>
      <c r="D685" s="51">
        <v>2.4850000000000003</v>
      </c>
      <c r="E685" s="51">
        <v>2.5587499999999999</v>
      </c>
      <c r="F685" s="52">
        <v>2.9825000000000004</v>
      </c>
    </row>
    <row r="686" spans="1:6" x14ac:dyDescent="0.35">
      <c r="A686" s="49" t="s">
        <v>569</v>
      </c>
      <c r="B686" s="49" t="s">
        <v>1274</v>
      </c>
      <c r="C686" s="49" t="str">
        <f t="shared" si="10"/>
        <v>42014-01_SD2</v>
      </c>
      <c r="D686" s="51">
        <v>2.5873333333333335</v>
      </c>
      <c r="E686" s="51">
        <v>2.633</v>
      </c>
      <c r="F686" s="52">
        <v>1.7466666666666668</v>
      </c>
    </row>
    <row r="687" spans="1:6" x14ac:dyDescent="0.35">
      <c r="A687" s="49" t="s">
        <v>1197</v>
      </c>
      <c r="B687" s="49" t="s">
        <v>1270</v>
      </c>
      <c r="C687" s="49" t="str">
        <f t="shared" si="10"/>
        <v>51013-01_008</v>
      </c>
      <c r="D687" s="51">
        <v>2.6040000000000001</v>
      </c>
      <c r="E687" s="51">
        <v>2.6137500000000005</v>
      </c>
      <c r="F687" s="52">
        <v>0.38750000000000001</v>
      </c>
    </row>
    <row r="688" spans="1:6" x14ac:dyDescent="0.35">
      <c r="A688" s="49" t="s">
        <v>1197</v>
      </c>
      <c r="B688" s="49" t="s">
        <v>1271</v>
      </c>
      <c r="C688" s="49" t="str">
        <f t="shared" si="10"/>
        <v>51013-01_009</v>
      </c>
      <c r="D688" s="51">
        <v>2.5779999999999998</v>
      </c>
      <c r="E688" s="51">
        <v>2.597</v>
      </c>
      <c r="F688" s="52">
        <v>0.73</v>
      </c>
    </row>
    <row r="689" spans="1:6" x14ac:dyDescent="0.35">
      <c r="A689" s="49" t="s">
        <v>1197</v>
      </c>
      <c r="B689" s="49" t="s">
        <v>1285</v>
      </c>
      <c r="C689" s="49" t="str">
        <f t="shared" si="10"/>
        <v>51013-01_067</v>
      </c>
      <c r="D689" s="51">
        <v>2.6032500000000001</v>
      </c>
      <c r="E689" s="51">
        <v>2.6132499999999999</v>
      </c>
      <c r="F689" s="52">
        <v>0.39750000000000002</v>
      </c>
    </row>
    <row r="690" spans="1:6" x14ac:dyDescent="0.35">
      <c r="A690" s="49" t="s">
        <v>1197</v>
      </c>
      <c r="B690" s="49" t="s">
        <v>1274</v>
      </c>
      <c r="C690" s="49" t="str">
        <f t="shared" si="10"/>
        <v>51013-01_SD2</v>
      </c>
      <c r="D690" s="51">
        <v>2.6274000000000002</v>
      </c>
      <c r="E690" s="51">
        <v>2.6337999999999999</v>
      </c>
      <c r="F690" s="52">
        <v>0.24000000000000005</v>
      </c>
    </row>
    <row r="691" spans="1:6" x14ac:dyDescent="0.35">
      <c r="A691" s="49" t="s">
        <v>747</v>
      </c>
      <c r="B691" s="49" t="s">
        <v>1274</v>
      </c>
      <c r="C691" s="49" t="str">
        <f t="shared" si="10"/>
        <v>44030-01_SD2</v>
      </c>
      <c r="D691" s="51">
        <v>2.5691999999999999</v>
      </c>
      <c r="E691" s="51">
        <v>2.617</v>
      </c>
      <c r="F691" s="52">
        <v>1.8420000000000001</v>
      </c>
    </row>
    <row r="692" spans="1:6" x14ac:dyDescent="0.35">
      <c r="A692" s="49" t="s">
        <v>853</v>
      </c>
      <c r="B692" s="49" t="s">
        <v>1279</v>
      </c>
      <c r="C692" s="49" t="str">
        <f t="shared" si="10"/>
        <v>46026-01_004</v>
      </c>
      <c r="D692" s="51">
        <v>2.6435</v>
      </c>
      <c r="E692" s="51">
        <v>2.6779999999999999</v>
      </c>
      <c r="F692" s="52">
        <v>1.325</v>
      </c>
    </row>
    <row r="693" spans="1:6" x14ac:dyDescent="0.35">
      <c r="A693" s="49" t="s">
        <v>853</v>
      </c>
      <c r="B693" s="49" t="s">
        <v>1280</v>
      </c>
      <c r="C693" s="49" t="str">
        <f t="shared" si="10"/>
        <v>46026-01_007M</v>
      </c>
      <c r="D693" s="51">
        <v>2.641</v>
      </c>
      <c r="E693" s="51">
        <v>2.6819999999999999</v>
      </c>
      <c r="F693" s="52">
        <v>1.575</v>
      </c>
    </row>
    <row r="694" spans="1:6" x14ac:dyDescent="0.35">
      <c r="A694" s="49" t="s">
        <v>853</v>
      </c>
      <c r="B694" s="49" t="s">
        <v>1270</v>
      </c>
      <c r="C694" s="49" t="str">
        <f t="shared" si="10"/>
        <v>46026-01_008</v>
      </c>
      <c r="D694" s="51">
        <v>2.6456666666666666</v>
      </c>
      <c r="E694" s="51">
        <v>2.6880000000000002</v>
      </c>
      <c r="F694" s="52">
        <v>1.59</v>
      </c>
    </row>
    <row r="695" spans="1:6" x14ac:dyDescent="0.35">
      <c r="A695" s="49" t="s">
        <v>853</v>
      </c>
      <c r="B695" s="49" t="s">
        <v>1281</v>
      </c>
      <c r="C695" s="49" t="str">
        <f t="shared" si="10"/>
        <v>46026-01_009M</v>
      </c>
      <c r="D695" s="51">
        <v>2.6315</v>
      </c>
      <c r="E695" s="51">
        <v>2.6785000000000001</v>
      </c>
      <c r="F695" s="52">
        <v>1.78</v>
      </c>
    </row>
    <row r="696" spans="1:6" x14ac:dyDescent="0.35">
      <c r="A696" s="49" t="s">
        <v>853</v>
      </c>
      <c r="B696" s="49" t="s">
        <v>1272</v>
      </c>
      <c r="C696" s="49" t="str">
        <f t="shared" si="10"/>
        <v>46026-01_057</v>
      </c>
      <c r="D696" s="51">
        <v>2.6506666666666669</v>
      </c>
      <c r="E696" s="51">
        <v>2.6863333333333337</v>
      </c>
      <c r="F696" s="52">
        <v>1.33</v>
      </c>
    </row>
    <row r="697" spans="1:6" x14ac:dyDescent="0.35">
      <c r="A697" s="49" t="s">
        <v>853</v>
      </c>
      <c r="B697" s="49" t="s">
        <v>1273</v>
      </c>
      <c r="C697" s="49" t="str">
        <f t="shared" si="10"/>
        <v>46026-01_SD5</v>
      </c>
      <c r="D697" s="51">
        <v>2.6680000000000001</v>
      </c>
      <c r="E697" s="51">
        <v>2.71</v>
      </c>
      <c r="F697" s="52">
        <v>1.59</v>
      </c>
    </row>
    <row r="698" spans="1:6" x14ac:dyDescent="0.35">
      <c r="A698" s="49" t="s">
        <v>992</v>
      </c>
      <c r="B698" s="49" t="s">
        <v>1274</v>
      </c>
      <c r="C698" s="49" t="str">
        <f t="shared" si="10"/>
        <v>48004-01_SD2</v>
      </c>
      <c r="D698" s="51">
        <v>2.5939999999999999</v>
      </c>
      <c r="E698" s="51">
        <v>2.625</v>
      </c>
      <c r="F698" s="52">
        <v>1.1499999999999999</v>
      </c>
    </row>
    <row r="699" spans="1:6" x14ac:dyDescent="0.35">
      <c r="A699" s="49" t="s">
        <v>710</v>
      </c>
      <c r="B699" s="49" t="s">
        <v>1270</v>
      </c>
      <c r="C699" s="49" t="str">
        <f t="shared" si="10"/>
        <v>44003-01_008</v>
      </c>
      <c r="D699" s="51">
        <v>2.5612499999999998</v>
      </c>
      <c r="E699" s="51">
        <v>2.6095000000000002</v>
      </c>
      <c r="F699" s="52">
        <v>1.8975</v>
      </c>
    </row>
    <row r="700" spans="1:6" x14ac:dyDescent="0.35">
      <c r="A700" s="49" t="s">
        <v>710</v>
      </c>
      <c r="B700" s="49" t="s">
        <v>1281</v>
      </c>
      <c r="C700" s="49" t="str">
        <f t="shared" si="10"/>
        <v>44003-01_009M</v>
      </c>
      <c r="D700" s="51">
        <v>2.5353333333333334</v>
      </c>
      <c r="E700" s="51">
        <v>2.5933333333333333</v>
      </c>
      <c r="F700" s="52">
        <v>2.2866666666666666</v>
      </c>
    </row>
    <row r="701" spans="1:6" x14ac:dyDescent="0.35">
      <c r="A701" s="49" t="s">
        <v>710</v>
      </c>
      <c r="B701" s="49" t="s">
        <v>1272</v>
      </c>
      <c r="C701" s="49" t="str">
        <f t="shared" si="10"/>
        <v>44003-01_057</v>
      </c>
      <c r="D701" s="51">
        <v>2.5665</v>
      </c>
      <c r="E701" s="51">
        <v>2.6132500000000003</v>
      </c>
      <c r="F701" s="52">
        <v>1.8150000000000002</v>
      </c>
    </row>
    <row r="702" spans="1:6" x14ac:dyDescent="0.35">
      <c r="A702" s="49" t="s">
        <v>710</v>
      </c>
      <c r="B702" s="49" t="s">
        <v>1274</v>
      </c>
      <c r="C702" s="49" t="str">
        <f t="shared" si="10"/>
        <v>44003-01_SD2</v>
      </c>
      <c r="D702" s="51">
        <v>2.5863333333333336</v>
      </c>
      <c r="E702" s="51">
        <v>2.6229999999999998</v>
      </c>
      <c r="F702" s="52">
        <v>1.41</v>
      </c>
    </row>
    <row r="703" spans="1:6" x14ac:dyDescent="0.35">
      <c r="A703" s="49" t="s">
        <v>712</v>
      </c>
      <c r="B703" s="49" t="s">
        <v>1290</v>
      </c>
      <c r="C703" s="49" t="str">
        <f t="shared" si="10"/>
        <v>44003A-01_SD5M</v>
      </c>
      <c r="D703" s="51">
        <v>2.601</v>
      </c>
      <c r="E703" s="51">
        <v>2.633</v>
      </c>
      <c r="F703" s="52">
        <v>1.23</v>
      </c>
    </row>
    <row r="704" spans="1:6" x14ac:dyDescent="0.35">
      <c r="A704" s="49" t="s">
        <v>708</v>
      </c>
      <c r="B704" s="49" t="s">
        <v>1274</v>
      </c>
      <c r="C704" s="49" t="str">
        <f t="shared" si="10"/>
        <v>44002-01_SD2</v>
      </c>
      <c r="D704" s="51">
        <v>2.5992500000000001</v>
      </c>
      <c r="E704" s="51">
        <v>2.6332499999999999</v>
      </c>
      <c r="F704" s="52">
        <v>1.2974999999999999</v>
      </c>
    </row>
    <row r="705" spans="1:6" x14ac:dyDescent="0.35">
      <c r="A705" s="49" t="s">
        <v>727</v>
      </c>
      <c r="B705" s="49" t="s">
        <v>1279</v>
      </c>
      <c r="C705" s="49" t="str">
        <f t="shared" si="10"/>
        <v>44013-01_004</v>
      </c>
      <c r="D705" s="51">
        <v>2.5994999999999999</v>
      </c>
      <c r="E705" s="51">
        <v>2.6355</v>
      </c>
      <c r="F705" s="52">
        <v>1.395</v>
      </c>
    </row>
    <row r="706" spans="1:6" x14ac:dyDescent="0.35">
      <c r="A706" s="49" t="s">
        <v>727</v>
      </c>
      <c r="B706" s="49" t="s">
        <v>1270</v>
      </c>
      <c r="C706" s="49" t="str">
        <f t="shared" si="10"/>
        <v>44013-01_008</v>
      </c>
      <c r="D706" s="51">
        <v>2.5892499999999998</v>
      </c>
      <c r="E706" s="51">
        <v>2.6367500000000001</v>
      </c>
      <c r="F706" s="52">
        <v>1.8450000000000002</v>
      </c>
    </row>
    <row r="707" spans="1:6" x14ac:dyDescent="0.35">
      <c r="A707" s="49" t="s">
        <v>727</v>
      </c>
      <c r="B707" s="49" t="s">
        <v>1276</v>
      </c>
      <c r="C707" s="49" t="str">
        <f t="shared" ref="C707:C770" si="11">A707&amp;"_"&amp;B707</f>
        <v>44013-01_010</v>
      </c>
      <c r="D707" s="51">
        <v>2.5843333333333334</v>
      </c>
      <c r="E707" s="51">
        <v>2.6453333333333333</v>
      </c>
      <c r="F707" s="52">
        <v>2.3466666666666667</v>
      </c>
    </row>
    <row r="708" spans="1:6" x14ac:dyDescent="0.35">
      <c r="A708" s="49" t="s">
        <v>727</v>
      </c>
      <c r="B708" s="49" t="s">
        <v>1272</v>
      </c>
      <c r="C708" s="49" t="str">
        <f t="shared" si="11"/>
        <v>44013-01_057</v>
      </c>
      <c r="D708" s="51">
        <v>2.5680000000000001</v>
      </c>
      <c r="E708" s="51">
        <v>2.6171999999999995</v>
      </c>
      <c r="F708" s="52">
        <v>1.9039999999999999</v>
      </c>
    </row>
    <row r="709" spans="1:6" x14ac:dyDescent="0.35">
      <c r="A709" s="49" t="s">
        <v>727</v>
      </c>
      <c r="B709" s="49" t="s">
        <v>1290</v>
      </c>
      <c r="C709" s="49" t="str">
        <f t="shared" si="11"/>
        <v>44013-01_SD5M</v>
      </c>
      <c r="D709" s="51">
        <v>2.5843333333333334</v>
      </c>
      <c r="E709" s="51">
        <v>2.6443333333333334</v>
      </c>
      <c r="F709" s="52">
        <v>2.3066666666666666</v>
      </c>
    </row>
    <row r="710" spans="1:6" x14ac:dyDescent="0.35">
      <c r="A710" s="49" t="s">
        <v>731</v>
      </c>
      <c r="B710" s="49" t="s">
        <v>1270</v>
      </c>
      <c r="C710" s="49" t="str">
        <f t="shared" si="11"/>
        <v>44013B-01_008</v>
      </c>
      <c r="D710" s="51">
        <v>2.5419999999999998</v>
      </c>
      <c r="E710" s="51">
        <v>2.6029999999999998</v>
      </c>
      <c r="F710" s="52">
        <v>2.4050000000000002</v>
      </c>
    </row>
    <row r="711" spans="1:6" x14ac:dyDescent="0.35">
      <c r="A711" s="49" t="s">
        <v>729</v>
      </c>
      <c r="B711" s="49" t="s">
        <v>1272</v>
      </c>
      <c r="C711" s="49" t="str">
        <f t="shared" si="11"/>
        <v>44013A-01_057</v>
      </c>
      <c r="D711" s="51">
        <v>2.5850000000000004</v>
      </c>
      <c r="E711" s="51">
        <v>2.6316666666666664</v>
      </c>
      <c r="F711" s="52">
        <v>1.7966666666666669</v>
      </c>
    </row>
    <row r="712" spans="1:6" x14ac:dyDescent="0.35">
      <c r="A712" s="49" t="s">
        <v>424</v>
      </c>
      <c r="B712" s="49" t="s">
        <v>1279</v>
      </c>
      <c r="C712" s="49" t="str">
        <f t="shared" si="11"/>
        <v>40020-01_004</v>
      </c>
      <c r="D712" s="51">
        <v>2.5649999999999999</v>
      </c>
      <c r="E712" s="51">
        <v>2.6056666666666666</v>
      </c>
      <c r="F712" s="52">
        <v>1.5766666666666669</v>
      </c>
    </row>
    <row r="713" spans="1:6" x14ac:dyDescent="0.35">
      <c r="A713" s="49" t="s">
        <v>424</v>
      </c>
      <c r="B713" s="49" t="s">
        <v>1270</v>
      </c>
      <c r="C713" s="49" t="str">
        <f t="shared" si="11"/>
        <v>40020-01_008</v>
      </c>
      <c r="D713" s="51">
        <v>2.6112500000000001</v>
      </c>
      <c r="E713" s="51">
        <v>2.6572499999999999</v>
      </c>
      <c r="F713" s="52">
        <v>1.7625</v>
      </c>
    </row>
    <row r="714" spans="1:6" x14ac:dyDescent="0.35">
      <c r="A714" s="49" t="s">
        <v>424</v>
      </c>
      <c r="B714" s="49" t="s">
        <v>1281</v>
      </c>
      <c r="C714" s="49" t="str">
        <f t="shared" si="11"/>
        <v>40020-01_009M</v>
      </c>
      <c r="D714" s="51">
        <v>2.6180000000000003</v>
      </c>
      <c r="E714" s="51">
        <v>2.6619999999999999</v>
      </c>
      <c r="F714" s="52">
        <v>1.7050000000000001</v>
      </c>
    </row>
    <row r="715" spans="1:6" x14ac:dyDescent="0.35">
      <c r="A715" s="49" t="s">
        <v>424</v>
      </c>
      <c r="B715" s="49" t="s">
        <v>1272</v>
      </c>
      <c r="C715" s="49" t="str">
        <f t="shared" si="11"/>
        <v>40020-01_057</v>
      </c>
      <c r="D715" s="51">
        <v>2.5945</v>
      </c>
      <c r="E715" s="51">
        <v>2.6343333333333336</v>
      </c>
      <c r="F715" s="52">
        <v>1.5333333333333332</v>
      </c>
    </row>
    <row r="716" spans="1:6" x14ac:dyDescent="0.35">
      <c r="A716" s="49" t="s">
        <v>424</v>
      </c>
      <c r="B716" s="49" t="s">
        <v>1287</v>
      </c>
      <c r="C716" s="49" t="str">
        <f t="shared" si="11"/>
        <v>40020-01_RAL</v>
      </c>
      <c r="D716" s="51">
        <v>2.7746666666666666</v>
      </c>
      <c r="E716" s="51">
        <v>2.7843333333333331</v>
      </c>
      <c r="F716" s="52">
        <v>0.34666666666666668</v>
      </c>
    </row>
    <row r="717" spans="1:6" x14ac:dyDescent="0.35">
      <c r="A717" s="49" t="s">
        <v>424</v>
      </c>
      <c r="B717" s="49" t="s">
        <v>1273</v>
      </c>
      <c r="C717" s="49" t="str">
        <f t="shared" si="11"/>
        <v>40020-01_SD5</v>
      </c>
      <c r="D717" s="51">
        <v>2.7770000000000001</v>
      </c>
      <c r="E717" s="51">
        <v>2.7889999999999997</v>
      </c>
      <c r="F717" s="52">
        <v>0.435</v>
      </c>
    </row>
    <row r="718" spans="1:6" x14ac:dyDescent="0.35">
      <c r="A718" s="49" t="s">
        <v>783</v>
      </c>
      <c r="B718" s="49" t="s">
        <v>1279</v>
      </c>
      <c r="C718" s="49" t="str">
        <f t="shared" si="11"/>
        <v>45004-01_004</v>
      </c>
      <c r="D718" s="51">
        <v>2.5870000000000002</v>
      </c>
      <c r="E718" s="51">
        <v>2.629</v>
      </c>
      <c r="F718" s="52">
        <v>1.64</v>
      </c>
    </row>
    <row r="719" spans="1:6" x14ac:dyDescent="0.35">
      <c r="A719" s="49" t="s">
        <v>783</v>
      </c>
      <c r="B719" s="49" t="s">
        <v>1272</v>
      </c>
      <c r="C719" s="49" t="str">
        <f t="shared" si="11"/>
        <v>45004-01_057</v>
      </c>
      <c r="D719" s="51">
        <v>2.5859999999999999</v>
      </c>
      <c r="E719" s="51">
        <v>2.63</v>
      </c>
      <c r="F719" s="52">
        <v>1.71</v>
      </c>
    </row>
    <row r="720" spans="1:6" x14ac:dyDescent="0.35">
      <c r="A720" s="49" t="s">
        <v>808</v>
      </c>
      <c r="B720" s="49" t="s">
        <v>1270</v>
      </c>
      <c r="C720" s="49" t="str">
        <f t="shared" si="11"/>
        <v>45023-01_008</v>
      </c>
      <c r="D720" s="51">
        <v>2.6100000000000003</v>
      </c>
      <c r="E720" s="51">
        <v>2.6559999999999997</v>
      </c>
      <c r="F720" s="52">
        <v>1.7650000000000001</v>
      </c>
    </row>
    <row r="721" spans="1:6" x14ac:dyDescent="0.35">
      <c r="A721" s="49" t="s">
        <v>808</v>
      </c>
      <c r="B721" s="49" t="s">
        <v>1272</v>
      </c>
      <c r="C721" s="49" t="str">
        <f t="shared" si="11"/>
        <v>45023-01_057</v>
      </c>
      <c r="D721" s="51">
        <v>2.62</v>
      </c>
      <c r="E721" s="51">
        <v>2.6619999999999999</v>
      </c>
      <c r="F721" s="52">
        <v>1.605</v>
      </c>
    </row>
    <row r="722" spans="1:6" x14ac:dyDescent="0.35">
      <c r="A722" s="49" t="s">
        <v>808</v>
      </c>
      <c r="B722" s="49" t="s">
        <v>1274</v>
      </c>
      <c r="C722" s="49" t="str">
        <f t="shared" si="11"/>
        <v>45023-01_SD2</v>
      </c>
      <c r="D722" s="51">
        <v>2.6230000000000002</v>
      </c>
      <c r="E722" s="51">
        <v>2.6630000000000003</v>
      </c>
      <c r="F722" s="52">
        <v>1.52</v>
      </c>
    </row>
    <row r="723" spans="1:6" x14ac:dyDescent="0.35">
      <c r="A723" s="49" t="s">
        <v>821</v>
      </c>
      <c r="B723" s="49" t="s">
        <v>1270</v>
      </c>
      <c r="C723" s="49" t="str">
        <f t="shared" si="11"/>
        <v>45043-01_008</v>
      </c>
      <c r="D723" s="51">
        <v>2.528</v>
      </c>
      <c r="E723" s="51">
        <v>2.5920000000000001</v>
      </c>
      <c r="F723" s="52">
        <v>2.5149999999999997</v>
      </c>
    </row>
    <row r="724" spans="1:6" x14ac:dyDescent="0.35">
      <c r="A724" s="49" t="s">
        <v>821</v>
      </c>
      <c r="B724" s="49" t="s">
        <v>1272</v>
      </c>
      <c r="C724" s="49" t="str">
        <f t="shared" si="11"/>
        <v>45043-01_057</v>
      </c>
      <c r="D724" s="51">
        <v>2.5579999999999998</v>
      </c>
      <c r="E724" s="51">
        <v>2.6135000000000002</v>
      </c>
      <c r="F724" s="52">
        <v>2.145</v>
      </c>
    </row>
    <row r="725" spans="1:6" x14ac:dyDescent="0.35">
      <c r="A725" s="49" t="s">
        <v>821</v>
      </c>
      <c r="B725" s="49" t="s">
        <v>1274</v>
      </c>
      <c r="C725" s="49" t="str">
        <f t="shared" si="11"/>
        <v>45043-01_SD2</v>
      </c>
      <c r="D725" s="51">
        <v>2.5150000000000001</v>
      </c>
      <c r="E725" s="51">
        <v>2.5790000000000002</v>
      </c>
      <c r="F725" s="52">
        <v>2.5499999999999998</v>
      </c>
    </row>
    <row r="726" spans="1:6" x14ac:dyDescent="0.35">
      <c r="A726" s="49" t="s">
        <v>1063</v>
      </c>
      <c r="B726" s="49" t="s">
        <v>1270</v>
      </c>
      <c r="C726" s="49" t="str">
        <f t="shared" si="11"/>
        <v>49048-01_008</v>
      </c>
      <c r="D726" s="51">
        <v>2.4566666666666666</v>
      </c>
      <c r="E726" s="51">
        <v>2.5059999999999998</v>
      </c>
      <c r="F726" s="52">
        <v>2.0100000000000002</v>
      </c>
    </row>
    <row r="727" spans="1:6" x14ac:dyDescent="0.35">
      <c r="A727" s="49" t="s">
        <v>1063</v>
      </c>
      <c r="B727" s="49" t="s">
        <v>1272</v>
      </c>
      <c r="C727" s="49" t="str">
        <f t="shared" si="11"/>
        <v>49048-01_057</v>
      </c>
      <c r="D727" s="51">
        <v>2.4423333333333335</v>
      </c>
      <c r="E727" s="51">
        <v>2.4913333333333334</v>
      </c>
      <c r="F727" s="52">
        <v>2.0166666666666666</v>
      </c>
    </row>
    <row r="728" spans="1:6" x14ac:dyDescent="0.35">
      <c r="A728" s="49" t="s">
        <v>1063</v>
      </c>
      <c r="B728" s="49" t="s">
        <v>1274</v>
      </c>
      <c r="C728" s="49" t="str">
        <f t="shared" si="11"/>
        <v>49048-01_SD2</v>
      </c>
      <c r="D728" s="51">
        <v>2.5983333333333332</v>
      </c>
      <c r="E728" s="51">
        <v>2.6193333333333335</v>
      </c>
      <c r="F728" s="52">
        <v>0.80333333333333334</v>
      </c>
    </row>
    <row r="729" spans="1:6" x14ac:dyDescent="0.35">
      <c r="A729" s="49" t="s">
        <v>1065</v>
      </c>
      <c r="B729" s="49" t="s">
        <v>1290</v>
      </c>
      <c r="C729" s="49" t="str">
        <f t="shared" si="11"/>
        <v>49048A-01_SD5M</v>
      </c>
      <c r="D729" s="51">
        <v>2.5105</v>
      </c>
      <c r="E729" s="51">
        <v>2.5445000000000002</v>
      </c>
      <c r="F729" s="52">
        <v>1.355</v>
      </c>
    </row>
    <row r="730" spans="1:6" x14ac:dyDescent="0.35">
      <c r="A730" s="49" t="s">
        <v>804</v>
      </c>
      <c r="B730" s="49" t="s">
        <v>1279</v>
      </c>
      <c r="C730" s="49" t="str">
        <f t="shared" si="11"/>
        <v>45019-01_004</v>
      </c>
      <c r="D730" s="51">
        <v>2.5190000000000001</v>
      </c>
      <c r="E730" s="51">
        <v>2.5774999999999997</v>
      </c>
      <c r="F730" s="52">
        <v>2.34</v>
      </c>
    </row>
    <row r="731" spans="1:6" x14ac:dyDescent="0.35">
      <c r="A731" s="49" t="s">
        <v>804</v>
      </c>
      <c r="B731" s="49" t="s">
        <v>1270</v>
      </c>
      <c r="C731" s="49" t="str">
        <f t="shared" si="11"/>
        <v>45019-01_008</v>
      </c>
      <c r="D731" s="51">
        <v>2.5197500000000002</v>
      </c>
      <c r="E731" s="51">
        <v>2.5902499999999997</v>
      </c>
      <c r="F731" s="52">
        <v>2.7974999999999999</v>
      </c>
    </row>
    <row r="732" spans="1:6" x14ac:dyDescent="0.35">
      <c r="A732" s="49" t="s">
        <v>804</v>
      </c>
      <c r="B732" s="49" t="s">
        <v>1271</v>
      </c>
      <c r="C732" s="49" t="str">
        <f t="shared" si="11"/>
        <v>45019-01_009</v>
      </c>
      <c r="D732" s="51">
        <v>2.4973333333333332</v>
      </c>
      <c r="E732" s="51">
        <v>2.5796666666666668</v>
      </c>
      <c r="F732" s="52">
        <v>3.3233333333333328</v>
      </c>
    </row>
    <row r="733" spans="1:6" x14ac:dyDescent="0.35">
      <c r="A733" s="49" t="s">
        <v>804</v>
      </c>
      <c r="B733" s="49" t="s">
        <v>1276</v>
      </c>
      <c r="C733" s="49" t="str">
        <f t="shared" si="11"/>
        <v>45019-01_010</v>
      </c>
      <c r="D733" s="51">
        <v>2.5406666666666666</v>
      </c>
      <c r="E733" s="51">
        <v>2.6036666666666668</v>
      </c>
      <c r="F733" s="52">
        <v>2.4633333333333334</v>
      </c>
    </row>
    <row r="734" spans="1:6" x14ac:dyDescent="0.35">
      <c r="A734" s="49" t="s">
        <v>804</v>
      </c>
      <c r="B734" s="49" t="s">
        <v>1272</v>
      </c>
      <c r="C734" s="49" t="str">
        <f t="shared" si="11"/>
        <v>45019-01_057</v>
      </c>
      <c r="D734" s="51">
        <v>2.5409999999999999</v>
      </c>
      <c r="E734" s="51">
        <v>2.5957500000000002</v>
      </c>
      <c r="F734" s="52">
        <v>2.1775000000000002</v>
      </c>
    </row>
    <row r="735" spans="1:6" x14ac:dyDescent="0.35">
      <c r="A735" s="49" t="s">
        <v>804</v>
      </c>
      <c r="B735" s="49" t="s">
        <v>1290</v>
      </c>
      <c r="C735" s="49" t="str">
        <f t="shared" si="11"/>
        <v>45019-01_SD5M</v>
      </c>
      <c r="D735" s="51">
        <v>2.5459999999999998</v>
      </c>
      <c r="E735" s="51">
        <v>2.6093333333333333</v>
      </c>
      <c r="F735" s="52">
        <v>2.4633333333333334</v>
      </c>
    </row>
    <row r="736" spans="1:6" x14ac:dyDescent="0.35">
      <c r="A736" s="49" t="s">
        <v>1075</v>
      </c>
      <c r="B736" s="49" t="s">
        <v>1270</v>
      </c>
      <c r="C736" s="49" t="str">
        <f t="shared" si="11"/>
        <v>49058-01_008</v>
      </c>
      <c r="D736" s="51">
        <v>2.5168000000000004</v>
      </c>
      <c r="E736" s="51">
        <v>2.5609999999999999</v>
      </c>
      <c r="F736" s="52">
        <v>1.754</v>
      </c>
    </row>
    <row r="737" spans="1:6" x14ac:dyDescent="0.35">
      <c r="A737" s="49" t="s">
        <v>1075</v>
      </c>
      <c r="B737" s="49" t="s">
        <v>1271</v>
      </c>
      <c r="C737" s="49" t="str">
        <f t="shared" si="11"/>
        <v>49058-01_009</v>
      </c>
      <c r="D737" s="51">
        <v>2.4649999999999999</v>
      </c>
      <c r="E737" s="51">
        <v>2.5289999999999999</v>
      </c>
      <c r="F737" s="52">
        <v>2.6100000000000003</v>
      </c>
    </row>
    <row r="738" spans="1:6" x14ac:dyDescent="0.35">
      <c r="A738" s="49" t="s">
        <v>1075</v>
      </c>
      <c r="B738" s="49" t="s">
        <v>1272</v>
      </c>
      <c r="C738" s="49" t="str">
        <f t="shared" si="11"/>
        <v>49058-01_057</v>
      </c>
      <c r="D738" s="51">
        <v>2.4978000000000002</v>
      </c>
      <c r="E738" s="51">
        <v>2.5425999999999997</v>
      </c>
      <c r="F738" s="52">
        <v>1.802</v>
      </c>
    </row>
    <row r="739" spans="1:6" x14ac:dyDescent="0.35">
      <c r="A739" s="49" t="s">
        <v>1075</v>
      </c>
      <c r="B739" s="49" t="s">
        <v>1274</v>
      </c>
      <c r="C739" s="49" t="str">
        <f t="shared" si="11"/>
        <v>49058-01_SD2</v>
      </c>
      <c r="D739" s="51">
        <v>2.6020000000000003</v>
      </c>
      <c r="E739" s="51">
        <v>2.6259999999999999</v>
      </c>
      <c r="F739" s="52">
        <v>0.93499999999999994</v>
      </c>
    </row>
    <row r="740" spans="1:6" x14ac:dyDescent="0.35">
      <c r="A740" s="49" t="s">
        <v>1306</v>
      </c>
      <c r="B740" s="49" t="s">
        <v>1270</v>
      </c>
      <c r="C740" s="49" t="str">
        <f t="shared" si="11"/>
        <v>49006-01_008</v>
      </c>
      <c r="D740" s="51">
        <v>2.456</v>
      </c>
      <c r="E740" s="51">
        <v>2.5169999999999999</v>
      </c>
      <c r="F740" s="52">
        <v>2.4700000000000002</v>
      </c>
    </row>
    <row r="741" spans="1:6" x14ac:dyDescent="0.35">
      <c r="A741" s="49" t="s">
        <v>1059</v>
      </c>
      <c r="B741" s="49" t="s">
        <v>1270</v>
      </c>
      <c r="C741" s="49" t="str">
        <f t="shared" si="11"/>
        <v>49045-01_008</v>
      </c>
      <c r="D741" s="51">
        <v>2.4933333333333336</v>
      </c>
      <c r="E741" s="51">
        <v>2.5456666666666661</v>
      </c>
      <c r="F741" s="52">
        <v>2.0966666666666667</v>
      </c>
    </row>
    <row r="742" spans="1:6" x14ac:dyDescent="0.35">
      <c r="A742" s="49" t="s">
        <v>1059</v>
      </c>
      <c r="B742" s="49" t="s">
        <v>1272</v>
      </c>
      <c r="C742" s="49" t="str">
        <f t="shared" si="11"/>
        <v>49045-01_057</v>
      </c>
      <c r="D742" s="51">
        <v>2.5183333333333331</v>
      </c>
      <c r="E742" s="51">
        <v>2.5626666666666669</v>
      </c>
      <c r="F742" s="52">
        <v>1.7533333333333332</v>
      </c>
    </row>
    <row r="743" spans="1:6" x14ac:dyDescent="0.35">
      <c r="A743" s="49" t="s">
        <v>1059</v>
      </c>
      <c r="B743" s="49" t="s">
        <v>1274</v>
      </c>
      <c r="C743" s="49" t="str">
        <f t="shared" si="11"/>
        <v>49045-01_SD2</v>
      </c>
      <c r="D743" s="51">
        <v>2.6013333333333333</v>
      </c>
      <c r="E743" s="51">
        <v>2.6259999999999999</v>
      </c>
      <c r="F743" s="52">
        <v>0.94666666666666666</v>
      </c>
    </row>
    <row r="744" spans="1:6" x14ac:dyDescent="0.35">
      <c r="A744" s="49" t="s">
        <v>717</v>
      </c>
      <c r="B744" s="49" t="s">
        <v>1270</v>
      </c>
      <c r="C744" s="49" t="str">
        <f t="shared" si="11"/>
        <v>44007-01_008</v>
      </c>
      <c r="D744" s="51">
        <v>2.496</v>
      </c>
      <c r="E744" s="51">
        <v>2.5613333333333332</v>
      </c>
      <c r="F744" s="52">
        <v>2.6066666666666669</v>
      </c>
    </row>
    <row r="745" spans="1:6" x14ac:dyDescent="0.35">
      <c r="A745" s="49" t="s">
        <v>717</v>
      </c>
      <c r="B745" s="49" t="s">
        <v>1272</v>
      </c>
      <c r="C745" s="49" t="str">
        <f t="shared" si="11"/>
        <v>44007-01_057</v>
      </c>
      <c r="D745" s="51">
        <v>2.4576666666666669</v>
      </c>
      <c r="E745" s="51">
        <v>2.5289999999999999</v>
      </c>
      <c r="F745" s="52">
        <v>2.9066666666666667</v>
      </c>
    </row>
    <row r="746" spans="1:6" x14ac:dyDescent="0.35">
      <c r="A746" s="49" t="s">
        <v>717</v>
      </c>
      <c r="B746" s="49" t="s">
        <v>1274</v>
      </c>
      <c r="C746" s="49" t="str">
        <f t="shared" si="11"/>
        <v>44007-01_SD2</v>
      </c>
      <c r="D746" s="51">
        <v>2.5714999999999999</v>
      </c>
      <c r="E746" s="51">
        <v>2.61225</v>
      </c>
      <c r="F746" s="52">
        <v>1.5525000000000002</v>
      </c>
    </row>
    <row r="747" spans="1:6" x14ac:dyDescent="0.35">
      <c r="A747" s="49" t="s">
        <v>608</v>
      </c>
      <c r="B747" s="49" t="s">
        <v>1289</v>
      </c>
      <c r="C747" s="49" t="str">
        <f t="shared" si="11"/>
        <v>43016-01_008M</v>
      </c>
      <c r="D747" s="51">
        <v>2.5313333333333334</v>
      </c>
      <c r="E747" s="51">
        <v>2.5836666666666663</v>
      </c>
      <c r="F747" s="52">
        <v>2.063333333333333</v>
      </c>
    </row>
    <row r="748" spans="1:6" x14ac:dyDescent="0.35">
      <c r="A748" s="49" t="s">
        <v>608</v>
      </c>
      <c r="B748" s="49" t="s">
        <v>1272</v>
      </c>
      <c r="C748" s="49" t="str">
        <f t="shared" si="11"/>
        <v>43016-01_057</v>
      </c>
      <c r="D748" s="51">
        <v>2.5299999999999998</v>
      </c>
      <c r="E748" s="51">
        <v>2.581</v>
      </c>
      <c r="F748" s="52">
        <v>2.0166666666666666</v>
      </c>
    </row>
    <row r="749" spans="1:6" x14ac:dyDescent="0.35">
      <c r="A749" s="49" t="s">
        <v>608</v>
      </c>
      <c r="B749" s="49" t="s">
        <v>1274</v>
      </c>
      <c r="C749" s="49" t="str">
        <f t="shared" si="11"/>
        <v>43016-01_SD2</v>
      </c>
      <c r="D749" s="51">
        <v>2.5975000000000001</v>
      </c>
      <c r="E749" s="51">
        <v>2.621</v>
      </c>
      <c r="F749" s="52">
        <v>0.89500000000000002</v>
      </c>
    </row>
    <row r="750" spans="1:6" x14ac:dyDescent="0.35">
      <c r="A750" s="49" t="s">
        <v>608</v>
      </c>
      <c r="B750" s="49" t="s">
        <v>1273</v>
      </c>
      <c r="C750" s="49" t="str">
        <f t="shared" si="11"/>
        <v>43016-01_SD5</v>
      </c>
      <c r="D750" s="51">
        <v>2.5879999999999996</v>
      </c>
      <c r="E750" s="51">
        <v>2.6139999999999999</v>
      </c>
      <c r="F750" s="52">
        <v>1.0066666666666666</v>
      </c>
    </row>
    <row r="751" spans="1:6" x14ac:dyDescent="0.35">
      <c r="A751" s="49" t="s">
        <v>608</v>
      </c>
      <c r="B751" s="49" t="s">
        <v>1290</v>
      </c>
      <c r="C751" s="49" t="str">
        <f t="shared" si="11"/>
        <v>43016-01_SD5M</v>
      </c>
      <c r="D751" s="51">
        <v>2.6020000000000003</v>
      </c>
      <c r="E751" s="51">
        <v>2.6255000000000002</v>
      </c>
      <c r="F751" s="52">
        <v>0.90999999999999992</v>
      </c>
    </row>
    <row r="752" spans="1:6" x14ac:dyDescent="0.35">
      <c r="A752" s="49" t="s">
        <v>799</v>
      </c>
      <c r="B752" s="49" t="s">
        <v>1279</v>
      </c>
      <c r="C752" s="49" t="str">
        <f t="shared" si="11"/>
        <v>45013-01_004</v>
      </c>
      <c r="D752" s="51">
        <v>2.629</v>
      </c>
      <c r="E752" s="51">
        <v>2.6756666666666664</v>
      </c>
      <c r="F752" s="52">
        <v>1.7700000000000002</v>
      </c>
    </row>
    <row r="753" spans="1:6" x14ac:dyDescent="0.35">
      <c r="A753" s="49" t="s">
        <v>799</v>
      </c>
      <c r="B753" s="49" t="s">
        <v>1270</v>
      </c>
      <c r="C753" s="49" t="str">
        <f t="shared" si="11"/>
        <v>45013-01_008</v>
      </c>
      <c r="D753" s="51">
        <v>2.6339999999999999</v>
      </c>
      <c r="E753" s="51">
        <v>2.6877499999999999</v>
      </c>
      <c r="F753" s="52">
        <v>2.0325000000000002</v>
      </c>
    </row>
    <row r="754" spans="1:6" x14ac:dyDescent="0.35">
      <c r="A754" s="49" t="s">
        <v>799</v>
      </c>
      <c r="B754" s="49" t="s">
        <v>1276</v>
      </c>
      <c r="C754" s="49" t="str">
        <f t="shared" si="11"/>
        <v>45013-01_010</v>
      </c>
      <c r="D754" s="51">
        <v>2.672333333333333</v>
      </c>
      <c r="E754" s="51">
        <v>2.7146666666666666</v>
      </c>
      <c r="F754" s="52">
        <v>1.5866666666666667</v>
      </c>
    </row>
    <row r="755" spans="1:6" x14ac:dyDescent="0.35">
      <c r="A755" s="49" t="s">
        <v>799</v>
      </c>
      <c r="B755" s="49" t="s">
        <v>1272</v>
      </c>
      <c r="C755" s="49" t="str">
        <f t="shared" si="11"/>
        <v>45013-01_057</v>
      </c>
      <c r="D755" s="51">
        <v>2.6395</v>
      </c>
      <c r="E755" s="51">
        <v>2.6852499999999999</v>
      </c>
      <c r="F755" s="52">
        <v>1.72</v>
      </c>
    </row>
    <row r="756" spans="1:6" x14ac:dyDescent="0.35">
      <c r="A756" s="49" t="s">
        <v>782</v>
      </c>
      <c r="B756" s="49" t="s">
        <v>1270</v>
      </c>
      <c r="C756" s="49" t="str">
        <f t="shared" si="11"/>
        <v>45003-01_008</v>
      </c>
      <c r="D756" s="51">
        <v>2.589</v>
      </c>
      <c r="E756" s="51">
        <v>2.6379999999999999</v>
      </c>
      <c r="F756" s="52">
        <v>1.9</v>
      </c>
    </row>
    <row r="757" spans="1:6" x14ac:dyDescent="0.35">
      <c r="A757" s="49" t="s">
        <v>782</v>
      </c>
      <c r="B757" s="49" t="s">
        <v>1272</v>
      </c>
      <c r="C757" s="49" t="str">
        <f t="shared" si="11"/>
        <v>45003-01_057</v>
      </c>
      <c r="D757" s="51">
        <v>2.6179999999999999</v>
      </c>
      <c r="E757" s="51">
        <v>2.653</v>
      </c>
      <c r="F757" s="52">
        <v>1.36</v>
      </c>
    </row>
    <row r="758" spans="1:6" x14ac:dyDescent="0.35">
      <c r="A758" s="49" t="s">
        <v>782</v>
      </c>
      <c r="B758" s="49" t="s">
        <v>1274</v>
      </c>
      <c r="C758" s="49" t="str">
        <f t="shared" si="11"/>
        <v>45003-01_SD2</v>
      </c>
      <c r="D758" s="51">
        <v>2.5619999999999998</v>
      </c>
      <c r="E758" s="51">
        <v>2.61</v>
      </c>
      <c r="F758" s="52">
        <v>1.87</v>
      </c>
    </row>
    <row r="759" spans="1:6" x14ac:dyDescent="0.35">
      <c r="A759" s="49" t="s">
        <v>783</v>
      </c>
      <c r="B759" s="49" t="s">
        <v>1279</v>
      </c>
      <c r="C759" s="49" t="str">
        <f t="shared" si="11"/>
        <v>45004-01_004</v>
      </c>
      <c r="D759" s="51">
        <v>2.5579999999999998</v>
      </c>
      <c r="E759" s="51">
        <v>2.6025</v>
      </c>
      <c r="F759" s="52">
        <v>1.75</v>
      </c>
    </row>
    <row r="760" spans="1:6" x14ac:dyDescent="0.35">
      <c r="A760" s="49" t="s">
        <v>783</v>
      </c>
      <c r="B760" s="49" t="s">
        <v>1272</v>
      </c>
      <c r="C760" s="49" t="str">
        <f t="shared" si="11"/>
        <v>45004-01_057</v>
      </c>
      <c r="D760" s="51">
        <v>2.5687499999999996</v>
      </c>
      <c r="E760" s="51">
        <v>2.6164999999999998</v>
      </c>
      <c r="F760" s="52">
        <v>1.8674999999999999</v>
      </c>
    </row>
    <row r="761" spans="1:6" x14ac:dyDescent="0.35">
      <c r="A761" s="49" t="s">
        <v>771</v>
      </c>
      <c r="B761" s="49" t="s">
        <v>1279</v>
      </c>
      <c r="C761" s="49" t="str">
        <f t="shared" si="11"/>
        <v>45002-01_004</v>
      </c>
      <c r="D761" s="51">
        <v>2.6116666666666668</v>
      </c>
      <c r="E761" s="51">
        <v>2.6500000000000004</v>
      </c>
      <c r="F761" s="52">
        <v>1.4633333333333336</v>
      </c>
    </row>
    <row r="762" spans="1:6" x14ac:dyDescent="0.35">
      <c r="A762" s="49" t="s">
        <v>771</v>
      </c>
      <c r="B762" s="49" t="s">
        <v>1280</v>
      </c>
      <c r="C762" s="49" t="str">
        <f t="shared" si="11"/>
        <v>45002-01_007M</v>
      </c>
      <c r="D762" s="51">
        <v>2.5695000000000001</v>
      </c>
      <c r="E762" s="51">
        <v>2.6274999999999999</v>
      </c>
      <c r="F762" s="52">
        <v>2.25</v>
      </c>
    </row>
    <row r="763" spans="1:6" x14ac:dyDescent="0.35">
      <c r="A763" s="49" t="s">
        <v>771</v>
      </c>
      <c r="B763" s="49" t="s">
        <v>1270</v>
      </c>
      <c r="C763" s="49" t="str">
        <f t="shared" si="11"/>
        <v>45002-01_008</v>
      </c>
      <c r="D763" s="51">
        <v>2.5910000000000002</v>
      </c>
      <c r="E763" s="51">
        <v>2.6427499999999999</v>
      </c>
      <c r="F763" s="52">
        <v>1.9975000000000001</v>
      </c>
    </row>
    <row r="764" spans="1:6" x14ac:dyDescent="0.35">
      <c r="A764" s="49" t="s">
        <v>771</v>
      </c>
      <c r="B764" s="49" t="s">
        <v>1272</v>
      </c>
      <c r="C764" s="49" t="str">
        <f t="shared" si="11"/>
        <v>45002-01_057</v>
      </c>
      <c r="D764" s="51">
        <v>2.6040000000000001</v>
      </c>
      <c r="E764" s="51">
        <v>2.645</v>
      </c>
      <c r="F764" s="52">
        <v>1.5775000000000001</v>
      </c>
    </row>
    <row r="765" spans="1:6" x14ac:dyDescent="0.35">
      <c r="A765" s="49" t="s">
        <v>771</v>
      </c>
      <c r="B765" s="49" t="s">
        <v>1290</v>
      </c>
      <c r="C765" s="49" t="str">
        <f t="shared" si="11"/>
        <v>45002-01_SD5M</v>
      </c>
      <c r="D765" s="51">
        <v>2.6140000000000003</v>
      </c>
      <c r="E765" s="51">
        <v>2.662666666666667</v>
      </c>
      <c r="F765" s="52">
        <v>1.8500000000000003</v>
      </c>
    </row>
    <row r="766" spans="1:6" x14ac:dyDescent="0.35">
      <c r="A766" s="49" t="s">
        <v>778</v>
      </c>
      <c r="B766" s="49" t="s">
        <v>1270</v>
      </c>
      <c r="C766" s="49" t="str">
        <f t="shared" si="11"/>
        <v>45002D-01_008</v>
      </c>
      <c r="D766" s="51">
        <v>2.5834999999999999</v>
      </c>
      <c r="E766" s="51">
        <v>2.6364999999999998</v>
      </c>
      <c r="F766" s="52">
        <v>2.0750000000000002</v>
      </c>
    </row>
    <row r="767" spans="1:6" x14ac:dyDescent="0.35">
      <c r="A767" s="49" t="s">
        <v>773</v>
      </c>
      <c r="B767" s="49" t="s">
        <v>1270</v>
      </c>
      <c r="C767" s="49" t="str">
        <f t="shared" si="11"/>
        <v>45002B-01_008</v>
      </c>
      <c r="D767" s="51">
        <v>2.5627499999999999</v>
      </c>
      <c r="E767" s="51">
        <v>2.6157499999999998</v>
      </c>
      <c r="F767" s="52">
        <v>2.0749999999999997</v>
      </c>
    </row>
    <row r="768" spans="1:6" x14ac:dyDescent="0.35">
      <c r="A768" s="49" t="s">
        <v>776</v>
      </c>
      <c r="B768" s="49" t="s">
        <v>1270</v>
      </c>
      <c r="C768" s="49" t="str">
        <f t="shared" si="11"/>
        <v>45002C-01_008</v>
      </c>
      <c r="D768" s="51">
        <v>2.5825</v>
      </c>
      <c r="E768" s="51">
        <v>2.6390000000000002</v>
      </c>
      <c r="F768" s="52">
        <v>2.17</v>
      </c>
    </row>
    <row r="769" spans="1:6" x14ac:dyDescent="0.35">
      <c r="A769" s="49" t="s">
        <v>780</v>
      </c>
      <c r="B769" s="49" t="s">
        <v>1270</v>
      </c>
      <c r="C769" s="49" t="str">
        <f t="shared" si="11"/>
        <v>45002E-01_008</v>
      </c>
      <c r="D769" s="51">
        <v>2.5659999999999998</v>
      </c>
      <c r="E769" s="51">
        <v>2.625</v>
      </c>
      <c r="F769" s="52">
        <v>2.2999999999999998</v>
      </c>
    </row>
    <row r="770" spans="1:6" x14ac:dyDescent="0.35">
      <c r="A770" s="49" t="s">
        <v>633</v>
      </c>
      <c r="B770" s="49" t="s">
        <v>1274</v>
      </c>
      <c r="C770" s="49" t="str">
        <f t="shared" si="11"/>
        <v>43050-01_SD2</v>
      </c>
      <c r="D770" s="51">
        <v>2.5099999999999998</v>
      </c>
      <c r="E770" s="51">
        <v>2.5649999999999999</v>
      </c>
      <c r="F770" s="52">
        <v>2.1924999999999999</v>
      </c>
    </row>
    <row r="771" spans="1:6" x14ac:dyDescent="0.35">
      <c r="A771" s="49" t="s">
        <v>1129</v>
      </c>
      <c r="B771" s="49" t="s">
        <v>1279</v>
      </c>
      <c r="C771" s="49" t="str">
        <f t="shared" ref="C771:C834" si="12">A771&amp;"_"&amp;B771</f>
        <v>50029-01_004</v>
      </c>
      <c r="D771" s="51">
        <v>2.5089999999999999</v>
      </c>
      <c r="E771" s="51">
        <v>2.5569999999999999</v>
      </c>
      <c r="F771" s="52">
        <v>1.91</v>
      </c>
    </row>
    <row r="772" spans="1:6" x14ac:dyDescent="0.35">
      <c r="A772" s="49" t="s">
        <v>1129</v>
      </c>
      <c r="B772" s="49" t="s">
        <v>1270</v>
      </c>
      <c r="C772" s="49" t="str">
        <f t="shared" si="12"/>
        <v>50029-01_008</v>
      </c>
      <c r="D772" s="51">
        <v>2.5186000000000002</v>
      </c>
      <c r="E772" s="51">
        <v>2.57</v>
      </c>
      <c r="F772" s="52">
        <v>2.0339999999999998</v>
      </c>
    </row>
    <row r="773" spans="1:6" x14ac:dyDescent="0.35">
      <c r="A773" s="49" t="s">
        <v>1129</v>
      </c>
      <c r="B773" s="49" t="s">
        <v>1272</v>
      </c>
      <c r="C773" s="49" t="str">
        <f t="shared" si="12"/>
        <v>50029-01_057</v>
      </c>
      <c r="D773" s="51">
        <v>2.5148000000000001</v>
      </c>
      <c r="E773" s="51">
        <v>2.5644</v>
      </c>
      <c r="F773" s="52">
        <v>1.984</v>
      </c>
    </row>
    <row r="774" spans="1:6" x14ac:dyDescent="0.35">
      <c r="A774" s="49" t="s">
        <v>1129</v>
      </c>
      <c r="B774" s="49" t="s">
        <v>1274</v>
      </c>
      <c r="C774" s="49" t="str">
        <f t="shared" si="12"/>
        <v>50029-01_SD2</v>
      </c>
      <c r="D774" s="51">
        <v>2.6062499999999997</v>
      </c>
      <c r="E774" s="51">
        <v>2.6274999999999999</v>
      </c>
      <c r="F774" s="52">
        <v>0.8075</v>
      </c>
    </row>
    <row r="775" spans="1:6" x14ac:dyDescent="0.35">
      <c r="A775" s="49" t="s">
        <v>1129</v>
      </c>
      <c r="B775" s="49" t="s">
        <v>1273</v>
      </c>
      <c r="C775" s="49" t="str">
        <f t="shared" si="12"/>
        <v>50029-01_SD5</v>
      </c>
      <c r="D775" s="51">
        <v>2.6074999999999999</v>
      </c>
      <c r="E775" s="51">
        <v>2.629</v>
      </c>
      <c r="F775" s="52">
        <v>0.80499999999999994</v>
      </c>
    </row>
    <row r="776" spans="1:6" x14ac:dyDescent="0.35">
      <c r="A776" s="49" t="s">
        <v>658</v>
      </c>
      <c r="B776" s="49" t="s">
        <v>1274</v>
      </c>
      <c r="C776" s="49" t="str">
        <f t="shared" si="12"/>
        <v>43080-01_SD2</v>
      </c>
      <c r="D776" s="51">
        <v>2.5259999999999998</v>
      </c>
      <c r="E776" s="51">
        <v>2.5750000000000002</v>
      </c>
      <c r="F776" s="52">
        <v>1.95</v>
      </c>
    </row>
    <row r="777" spans="1:6" x14ac:dyDescent="0.35">
      <c r="A777" s="49" t="s">
        <v>622</v>
      </c>
      <c r="B777" s="49" t="s">
        <v>1274</v>
      </c>
      <c r="C777" s="49" t="str">
        <f t="shared" si="12"/>
        <v>43037-01_SD2</v>
      </c>
      <c r="D777" s="51">
        <v>2.597</v>
      </c>
      <c r="E777" s="51">
        <v>2.6320000000000001</v>
      </c>
      <c r="F777" s="52">
        <v>1.35</v>
      </c>
    </row>
    <row r="778" spans="1:6" x14ac:dyDescent="0.35">
      <c r="A778" s="49" t="s">
        <v>738</v>
      </c>
      <c r="B778" s="49" t="s">
        <v>1270</v>
      </c>
      <c r="C778" s="49" t="str">
        <f t="shared" si="12"/>
        <v>44019-01_008</v>
      </c>
      <c r="D778" s="51">
        <v>2.5344000000000002</v>
      </c>
      <c r="E778" s="51">
        <v>2.5946000000000002</v>
      </c>
      <c r="F778" s="52">
        <v>2.3720000000000003</v>
      </c>
    </row>
    <row r="779" spans="1:6" x14ac:dyDescent="0.35">
      <c r="A779" s="49" t="s">
        <v>738</v>
      </c>
      <c r="B779" s="49" t="s">
        <v>1272</v>
      </c>
      <c r="C779" s="49" t="str">
        <f t="shared" si="12"/>
        <v>44019-01_057</v>
      </c>
      <c r="D779" s="51">
        <v>2.556</v>
      </c>
      <c r="E779" s="51">
        <v>2.6073999999999997</v>
      </c>
      <c r="F779" s="52">
        <v>1.996</v>
      </c>
    </row>
    <row r="780" spans="1:6" x14ac:dyDescent="0.35">
      <c r="A780" s="49" t="s">
        <v>738</v>
      </c>
      <c r="B780" s="49" t="s">
        <v>1274</v>
      </c>
      <c r="C780" s="49" t="str">
        <f t="shared" si="12"/>
        <v>44019-01_SD2</v>
      </c>
      <c r="D780" s="51">
        <v>2.5857999999999999</v>
      </c>
      <c r="E780" s="51">
        <v>2.6275999999999997</v>
      </c>
      <c r="F780" s="52">
        <v>1.6140000000000001</v>
      </c>
    </row>
    <row r="781" spans="1:6" x14ac:dyDescent="0.35">
      <c r="A781" s="49" t="s">
        <v>740</v>
      </c>
      <c r="B781" s="49" t="s">
        <v>1273</v>
      </c>
      <c r="C781" s="49" t="str">
        <f t="shared" si="12"/>
        <v>44019A-01_SD5</v>
      </c>
      <c r="D781" s="51">
        <v>2.5606666666666666</v>
      </c>
      <c r="E781" s="51">
        <v>2.6136666666666666</v>
      </c>
      <c r="F781" s="52">
        <v>2.0566666666666666</v>
      </c>
    </row>
    <row r="782" spans="1:6" x14ac:dyDescent="0.35">
      <c r="A782" s="49" t="s">
        <v>741</v>
      </c>
      <c r="B782" s="49" t="s">
        <v>1270</v>
      </c>
      <c r="C782" s="49" t="str">
        <f t="shared" si="12"/>
        <v>44019B-01_008</v>
      </c>
      <c r="D782" s="51">
        <v>2.6204999999999998</v>
      </c>
      <c r="E782" s="51">
        <v>2.6509999999999998</v>
      </c>
      <c r="F782" s="52">
        <v>1.18</v>
      </c>
    </row>
    <row r="783" spans="1:6" x14ac:dyDescent="0.35">
      <c r="A783" s="49" t="s">
        <v>741</v>
      </c>
      <c r="B783" s="49" t="s">
        <v>1272</v>
      </c>
      <c r="C783" s="49" t="str">
        <f t="shared" si="12"/>
        <v>44019B-01_057</v>
      </c>
      <c r="D783" s="51">
        <v>2.5819999999999999</v>
      </c>
      <c r="E783" s="51">
        <v>2.6284999999999998</v>
      </c>
      <c r="F783" s="52">
        <v>1.79</v>
      </c>
    </row>
    <row r="784" spans="1:6" x14ac:dyDescent="0.35">
      <c r="A784" s="49" t="s">
        <v>741</v>
      </c>
      <c r="B784" s="49" t="s">
        <v>1273</v>
      </c>
      <c r="C784" s="49" t="str">
        <f t="shared" si="12"/>
        <v>44019B-01_SD5</v>
      </c>
      <c r="D784" s="51">
        <v>2.5973333333333333</v>
      </c>
      <c r="E784" s="51">
        <v>2.6396666666666668</v>
      </c>
      <c r="F784" s="52">
        <v>1.6233333333333333</v>
      </c>
    </row>
    <row r="785" spans="1:6" x14ac:dyDescent="0.35">
      <c r="A785" s="49" t="s">
        <v>488</v>
      </c>
      <c r="B785" s="49" t="s">
        <v>1274</v>
      </c>
      <c r="C785" s="49" t="str">
        <f t="shared" si="12"/>
        <v>41026-01_SD2</v>
      </c>
      <c r="D785" s="51">
        <v>2.6937500000000001</v>
      </c>
      <c r="E785" s="51">
        <v>2.7030000000000003</v>
      </c>
      <c r="F785" s="52">
        <v>0.33750000000000002</v>
      </c>
    </row>
    <row r="786" spans="1:6" x14ac:dyDescent="0.35">
      <c r="A786" s="49" t="s">
        <v>1145</v>
      </c>
      <c r="B786" s="49" t="s">
        <v>1274</v>
      </c>
      <c r="C786" s="49" t="str">
        <f t="shared" si="12"/>
        <v>50069-01_SD2</v>
      </c>
      <c r="D786" s="51">
        <v>2.6236666666666668</v>
      </c>
      <c r="E786" s="51">
        <v>2.6466666666666665</v>
      </c>
      <c r="F786" s="52">
        <v>0.86666666666666659</v>
      </c>
    </row>
    <row r="787" spans="1:6" x14ac:dyDescent="0.35">
      <c r="A787" s="49" t="s">
        <v>1145</v>
      </c>
      <c r="B787" s="49" t="s">
        <v>1273</v>
      </c>
      <c r="C787" s="49" t="str">
        <f t="shared" si="12"/>
        <v>50069-01_SD5</v>
      </c>
      <c r="D787" s="51">
        <v>2.6293333333333333</v>
      </c>
      <c r="E787" s="51">
        <v>2.6510000000000002</v>
      </c>
      <c r="F787" s="52">
        <v>0.81333333333333335</v>
      </c>
    </row>
    <row r="788" spans="1:6" x14ac:dyDescent="0.35">
      <c r="A788" s="49" t="s">
        <v>994</v>
      </c>
      <c r="B788" s="49" t="s">
        <v>1270</v>
      </c>
      <c r="C788" s="49" t="str">
        <f t="shared" si="12"/>
        <v>48005-01_008</v>
      </c>
      <c r="D788" s="51">
        <v>2.5329999999999999</v>
      </c>
      <c r="E788" s="51">
        <v>2.597</v>
      </c>
      <c r="F788" s="52">
        <v>2.5299999999999998</v>
      </c>
    </row>
    <row r="789" spans="1:6" x14ac:dyDescent="0.35">
      <c r="A789" s="49" t="s">
        <v>994</v>
      </c>
      <c r="B789" s="49" t="s">
        <v>1274</v>
      </c>
      <c r="C789" s="49" t="str">
        <f t="shared" si="12"/>
        <v>48005-01_SD2</v>
      </c>
      <c r="D789" s="51">
        <v>2.57</v>
      </c>
      <c r="E789" s="51">
        <v>2.6179999999999999</v>
      </c>
      <c r="F789" s="52">
        <v>1.81</v>
      </c>
    </row>
    <row r="790" spans="1:6" x14ac:dyDescent="0.35">
      <c r="A790" s="49" t="s">
        <v>994</v>
      </c>
      <c r="B790" s="49" t="s">
        <v>1273</v>
      </c>
      <c r="C790" s="49" t="str">
        <f t="shared" si="12"/>
        <v>48005-01_SD5</v>
      </c>
      <c r="D790" s="51">
        <v>2.5680000000000001</v>
      </c>
      <c r="E790" s="51">
        <v>2.6150000000000002</v>
      </c>
      <c r="F790" s="52">
        <v>1.84</v>
      </c>
    </row>
    <row r="791" spans="1:6" x14ac:dyDescent="0.35">
      <c r="A791" s="49" t="s">
        <v>871</v>
      </c>
      <c r="B791" s="49" t="s">
        <v>1270</v>
      </c>
      <c r="C791" s="49" t="str">
        <f t="shared" si="12"/>
        <v>46050-01_008</v>
      </c>
      <c r="D791" s="51">
        <v>2.6124999999999998</v>
      </c>
      <c r="E791" s="51">
        <v>2.6615000000000002</v>
      </c>
      <c r="F791" s="52">
        <v>1.895</v>
      </c>
    </row>
    <row r="792" spans="1:6" x14ac:dyDescent="0.35">
      <c r="A792" s="49" t="s">
        <v>871</v>
      </c>
      <c r="B792" s="49" t="s">
        <v>1272</v>
      </c>
      <c r="C792" s="49" t="str">
        <f t="shared" si="12"/>
        <v>46050-01_057</v>
      </c>
      <c r="D792" s="51">
        <v>2.6277499999999998</v>
      </c>
      <c r="E792" s="51">
        <v>2.6704999999999997</v>
      </c>
      <c r="F792" s="52">
        <v>1.625</v>
      </c>
    </row>
    <row r="793" spans="1:6" x14ac:dyDescent="0.35">
      <c r="A793" s="49" t="s">
        <v>871</v>
      </c>
      <c r="B793" s="49" t="s">
        <v>1274</v>
      </c>
      <c r="C793" s="49" t="str">
        <f t="shared" si="12"/>
        <v>46050-01_SD2</v>
      </c>
      <c r="D793" s="51">
        <v>2.6413333333333333</v>
      </c>
      <c r="E793" s="51">
        <v>2.6769999999999996</v>
      </c>
      <c r="F793" s="52">
        <v>1.3466666666666667</v>
      </c>
    </row>
    <row r="794" spans="1:6" x14ac:dyDescent="0.35">
      <c r="A794" s="49" t="s">
        <v>499</v>
      </c>
      <c r="B794" s="49" t="s">
        <v>1274</v>
      </c>
      <c r="C794" s="49" t="str">
        <f t="shared" si="12"/>
        <v>41035-01_SD2</v>
      </c>
      <c r="D794" s="51">
        <v>2.6056666666666666</v>
      </c>
      <c r="E794" s="51">
        <v>2.6366666666666667</v>
      </c>
      <c r="F794" s="52">
        <v>1.1733333333333333</v>
      </c>
    </row>
    <row r="795" spans="1:6" x14ac:dyDescent="0.35">
      <c r="A795" s="49" t="s">
        <v>1205</v>
      </c>
      <c r="B795" s="49" t="s">
        <v>1289</v>
      </c>
      <c r="C795" s="49" t="str">
        <f t="shared" si="12"/>
        <v>51047-01_008M</v>
      </c>
      <c r="D795" s="51">
        <v>2.4323333333333337</v>
      </c>
      <c r="E795" s="51">
        <v>2.4900000000000002</v>
      </c>
      <c r="F795" s="52">
        <v>2.3699999999999997</v>
      </c>
    </row>
    <row r="796" spans="1:6" x14ac:dyDescent="0.35">
      <c r="A796" s="49" t="s">
        <v>1205</v>
      </c>
      <c r="B796" s="49" t="s">
        <v>1272</v>
      </c>
      <c r="C796" s="49" t="str">
        <f t="shared" si="12"/>
        <v>51047-01_057</v>
      </c>
      <c r="D796" s="51">
        <v>2.3130000000000002</v>
      </c>
      <c r="E796" s="51">
        <v>2.3726666666666669</v>
      </c>
      <c r="F796" s="52">
        <v>2.57</v>
      </c>
    </row>
    <row r="797" spans="1:6" x14ac:dyDescent="0.35">
      <c r="A797" s="49" t="s">
        <v>1205</v>
      </c>
      <c r="B797" s="49" t="s">
        <v>1273</v>
      </c>
      <c r="C797" s="49" t="str">
        <f t="shared" si="12"/>
        <v>51047-01_SD5</v>
      </c>
      <c r="D797" s="51">
        <v>2.7736666666666672</v>
      </c>
      <c r="E797" s="51">
        <v>2.7906666666666666</v>
      </c>
      <c r="F797" s="52">
        <v>0.60666666666666669</v>
      </c>
    </row>
    <row r="798" spans="1:6" x14ac:dyDescent="0.35">
      <c r="A798" s="49" t="s">
        <v>1148</v>
      </c>
      <c r="B798" s="49" t="s">
        <v>1270</v>
      </c>
      <c r="C798" s="49" t="str">
        <f t="shared" si="12"/>
        <v>50075-01_008</v>
      </c>
      <c r="D798" s="51">
        <v>2.5274000000000001</v>
      </c>
      <c r="E798" s="51">
        <v>2.5773999999999999</v>
      </c>
      <c r="F798" s="52">
        <v>1.9740000000000002</v>
      </c>
    </row>
    <row r="799" spans="1:6" x14ac:dyDescent="0.35">
      <c r="A799" s="49" t="s">
        <v>1148</v>
      </c>
      <c r="B799" s="49" t="s">
        <v>1271</v>
      </c>
      <c r="C799" s="49" t="str">
        <f t="shared" si="12"/>
        <v>50075-01_009</v>
      </c>
      <c r="D799" s="51">
        <v>2.4816666666666669</v>
      </c>
      <c r="E799" s="51">
        <v>2.5353333333333334</v>
      </c>
      <c r="F799" s="52">
        <v>2.1833333333333336</v>
      </c>
    </row>
    <row r="800" spans="1:6" x14ac:dyDescent="0.35">
      <c r="A800" s="49" t="s">
        <v>1148</v>
      </c>
      <c r="B800" s="49" t="s">
        <v>1272</v>
      </c>
      <c r="C800" s="49" t="str">
        <f t="shared" si="12"/>
        <v>50075-01_057</v>
      </c>
      <c r="D800" s="51">
        <v>2.532</v>
      </c>
      <c r="E800" s="51">
        <v>2.5773999999999999</v>
      </c>
      <c r="F800" s="52">
        <v>1.8039999999999998</v>
      </c>
    </row>
    <row r="801" spans="1:6" x14ac:dyDescent="0.35">
      <c r="A801" s="49" t="s">
        <v>1148</v>
      </c>
      <c r="B801" s="49" t="s">
        <v>1274</v>
      </c>
      <c r="C801" s="49" t="str">
        <f t="shared" si="12"/>
        <v>50075-01_SD2</v>
      </c>
      <c r="D801" s="51">
        <v>2.6093333333333337</v>
      </c>
      <c r="E801" s="51">
        <v>2.6313333333333331</v>
      </c>
      <c r="F801" s="52">
        <v>0.85333333333333317</v>
      </c>
    </row>
    <row r="802" spans="1:6" x14ac:dyDescent="0.35">
      <c r="A802" s="49" t="s">
        <v>1148</v>
      </c>
      <c r="B802" s="49" t="s">
        <v>1290</v>
      </c>
      <c r="C802" s="49" t="str">
        <f t="shared" si="12"/>
        <v>50075-01_SD5M</v>
      </c>
      <c r="D802" s="51">
        <v>2.6212499999999999</v>
      </c>
      <c r="E802" s="51">
        <v>2.637</v>
      </c>
      <c r="F802" s="52">
        <v>0.60499999999999998</v>
      </c>
    </row>
    <row r="803" spans="1:6" x14ac:dyDescent="0.35">
      <c r="A803" s="49" t="s">
        <v>1131</v>
      </c>
      <c r="B803" s="49" t="s">
        <v>1270</v>
      </c>
      <c r="C803" s="49" t="str">
        <f t="shared" si="12"/>
        <v>50038-01_008</v>
      </c>
      <c r="D803" s="51">
        <v>2.5065714285714287</v>
      </c>
      <c r="E803" s="51">
        <v>2.5607142857142859</v>
      </c>
      <c r="F803" s="52">
        <v>2.1599999999999997</v>
      </c>
    </row>
    <row r="804" spans="1:6" x14ac:dyDescent="0.35">
      <c r="A804" s="49" t="s">
        <v>1131</v>
      </c>
      <c r="B804" s="49" t="s">
        <v>1271</v>
      </c>
      <c r="C804" s="49" t="str">
        <f t="shared" si="12"/>
        <v>50038-01_009</v>
      </c>
      <c r="D804" s="51">
        <v>2.47925</v>
      </c>
      <c r="E804" s="51">
        <v>2.548</v>
      </c>
      <c r="F804" s="52">
        <v>2.7725</v>
      </c>
    </row>
    <row r="805" spans="1:6" x14ac:dyDescent="0.35">
      <c r="A805" s="49" t="s">
        <v>1131</v>
      </c>
      <c r="B805" s="49" t="s">
        <v>1272</v>
      </c>
      <c r="C805" s="49" t="str">
        <f t="shared" si="12"/>
        <v>50038-01_057</v>
      </c>
      <c r="D805" s="51">
        <v>2.51525</v>
      </c>
      <c r="E805" s="51">
        <v>2.5637499999999998</v>
      </c>
      <c r="F805" s="52">
        <v>1.9150000000000003</v>
      </c>
    </row>
    <row r="806" spans="1:6" x14ac:dyDescent="0.35">
      <c r="A806" s="49" t="s">
        <v>1131</v>
      </c>
      <c r="B806" s="49" t="s">
        <v>1274</v>
      </c>
      <c r="C806" s="49" t="str">
        <f t="shared" si="12"/>
        <v>50038-01_SD2</v>
      </c>
      <c r="D806" s="51">
        <v>2.6056666666666666</v>
      </c>
      <c r="E806" s="51">
        <v>2.6283333333333334</v>
      </c>
      <c r="F806" s="52">
        <v>0.87333333333333341</v>
      </c>
    </row>
    <row r="807" spans="1:6" x14ac:dyDescent="0.35">
      <c r="A807" s="49" t="s">
        <v>1131</v>
      </c>
      <c r="B807" s="49" t="s">
        <v>1273</v>
      </c>
      <c r="C807" s="49" t="str">
        <f t="shared" si="12"/>
        <v>50038-01_SD5</v>
      </c>
      <c r="D807" s="51">
        <v>2.6069999999999998</v>
      </c>
      <c r="E807" s="51">
        <v>2.6303333333333332</v>
      </c>
      <c r="F807" s="52">
        <v>0.89</v>
      </c>
    </row>
    <row r="808" spans="1:6" x14ac:dyDescent="0.35">
      <c r="A808" s="49" t="s">
        <v>1131</v>
      </c>
      <c r="B808" s="49" t="s">
        <v>1290</v>
      </c>
      <c r="C808" s="49" t="str">
        <f t="shared" si="12"/>
        <v>50038-01_SD5M</v>
      </c>
      <c r="D808" s="51">
        <v>2.59</v>
      </c>
      <c r="E808" s="51">
        <v>2.61</v>
      </c>
      <c r="F808" s="52">
        <v>0.75</v>
      </c>
    </row>
    <row r="809" spans="1:6" x14ac:dyDescent="0.35">
      <c r="A809" s="49" t="s">
        <v>1133</v>
      </c>
      <c r="B809" s="49" t="s">
        <v>1281</v>
      </c>
      <c r="C809" s="49" t="str">
        <f t="shared" si="12"/>
        <v>50038A-01_009M</v>
      </c>
      <c r="D809" s="51">
        <v>2.456</v>
      </c>
      <c r="E809" s="51">
        <v>2.5299999999999998</v>
      </c>
      <c r="F809" s="52">
        <v>3.05</v>
      </c>
    </row>
    <row r="810" spans="1:6" x14ac:dyDescent="0.35">
      <c r="A810" s="49" t="s">
        <v>1133</v>
      </c>
      <c r="B810" s="49" t="s">
        <v>1290</v>
      </c>
      <c r="C810" s="49" t="str">
        <f t="shared" si="12"/>
        <v>50038A-01_SD5M</v>
      </c>
      <c r="D810" s="51">
        <v>2.5990000000000002</v>
      </c>
      <c r="E810" s="51">
        <v>2.617</v>
      </c>
      <c r="F810" s="52">
        <v>0.71</v>
      </c>
    </row>
    <row r="811" spans="1:6" x14ac:dyDescent="0.35">
      <c r="A811" s="49" t="s">
        <v>438</v>
      </c>
      <c r="B811" s="49" t="s">
        <v>1290</v>
      </c>
      <c r="C811" s="49" t="str">
        <f t="shared" si="12"/>
        <v>40035-01_SD5M</v>
      </c>
      <c r="D811" s="51">
        <v>2.6093333333333337</v>
      </c>
      <c r="E811" s="51">
        <v>2.6383333333333332</v>
      </c>
      <c r="F811" s="52">
        <v>1.1100000000000001</v>
      </c>
    </row>
    <row r="812" spans="1:6" x14ac:dyDescent="0.35">
      <c r="A812" s="49" t="s">
        <v>440</v>
      </c>
      <c r="B812" s="49" t="s">
        <v>1307</v>
      </c>
      <c r="C812" s="49" t="str">
        <f t="shared" si="12"/>
        <v>40036-01_003M</v>
      </c>
      <c r="D812" s="51">
        <v>2.6399999999999997</v>
      </c>
      <c r="E812" s="51">
        <v>2.6785000000000001</v>
      </c>
      <c r="F812" s="52">
        <v>1.4750000000000001</v>
      </c>
    </row>
    <row r="813" spans="1:6" x14ac:dyDescent="0.35">
      <c r="A813" s="49" t="s">
        <v>440</v>
      </c>
      <c r="B813" s="49" t="s">
        <v>1289</v>
      </c>
      <c r="C813" s="49" t="str">
        <f t="shared" si="12"/>
        <v>40036-01_008M</v>
      </c>
      <c r="D813" s="51">
        <v>2.6317999999999997</v>
      </c>
      <c r="E813" s="51">
        <v>2.6825999999999999</v>
      </c>
      <c r="F813" s="52">
        <v>1.9239999999999999</v>
      </c>
    </row>
    <row r="814" spans="1:6" x14ac:dyDescent="0.35">
      <c r="A814" s="49" t="s">
        <v>440</v>
      </c>
      <c r="B814" s="49" t="s">
        <v>1297</v>
      </c>
      <c r="C814" s="49" t="str">
        <f t="shared" si="12"/>
        <v>40036-01_057M</v>
      </c>
      <c r="D814" s="51">
        <v>2.6550000000000002</v>
      </c>
      <c r="E814" s="51">
        <v>2.6993999999999998</v>
      </c>
      <c r="F814" s="52">
        <v>1.6719999999999999</v>
      </c>
    </row>
    <row r="815" spans="1:6" x14ac:dyDescent="0.35">
      <c r="A815" s="49" t="s">
        <v>440</v>
      </c>
      <c r="B815" s="49" t="s">
        <v>1282</v>
      </c>
      <c r="C815" s="49" t="str">
        <f t="shared" si="12"/>
        <v>40036-01_068</v>
      </c>
      <c r="D815" s="51">
        <v>2.6615000000000002</v>
      </c>
      <c r="E815" s="51">
        <v>2.7035</v>
      </c>
      <c r="F815" s="52">
        <v>1.58</v>
      </c>
    </row>
    <row r="816" spans="1:6" x14ac:dyDescent="0.35">
      <c r="A816" s="49" t="s">
        <v>440</v>
      </c>
      <c r="B816" s="49" t="s">
        <v>1286</v>
      </c>
      <c r="C816" s="49" t="str">
        <f t="shared" si="12"/>
        <v>40036-01_089M</v>
      </c>
      <c r="D816" s="51">
        <v>2.633</v>
      </c>
      <c r="E816" s="51">
        <v>2.6852499999999999</v>
      </c>
      <c r="F816" s="52">
        <v>1.9949999999999999</v>
      </c>
    </row>
    <row r="817" spans="1:6" x14ac:dyDescent="0.35">
      <c r="A817" s="49" t="s">
        <v>440</v>
      </c>
      <c r="B817" s="49" t="s">
        <v>1308</v>
      </c>
      <c r="C817" s="49" t="str">
        <f t="shared" si="12"/>
        <v>40036-01_SD2M</v>
      </c>
      <c r="D817" s="51">
        <v>2.6726666666666667</v>
      </c>
      <c r="E817" s="51">
        <v>2.7076666666666664</v>
      </c>
      <c r="F817" s="52">
        <v>1.3133333333333332</v>
      </c>
    </row>
    <row r="818" spans="1:6" x14ac:dyDescent="0.35">
      <c r="A818" s="49" t="s">
        <v>440</v>
      </c>
      <c r="B818" s="49" t="s">
        <v>1290</v>
      </c>
      <c r="C818" s="49" t="str">
        <f t="shared" si="12"/>
        <v>40036-01_SD5M</v>
      </c>
      <c r="D818" s="51">
        <v>2.6853333333333329</v>
      </c>
      <c r="E818" s="51">
        <v>2.7156666666666669</v>
      </c>
      <c r="F818" s="52">
        <v>1.1333333333333335</v>
      </c>
    </row>
    <row r="819" spans="1:6" x14ac:dyDescent="0.35">
      <c r="A819" s="49" t="s">
        <v>594</v>
      </c>
      <c r="B819" s="49" t="s">
        <v>1270</v>
      </c>
      <c r="C819" s="49" t="str">
        <f t="shared" si="12"/>
        <v>43007-01_008</v>
      </c>
      <c r="D819" s="51">
        <v>2.5794999999999999</v>
      </c>
      <c r="E819" s="51">
        <v>2.6195000000000004</v>
      </c>
      <c r="F819" s="52">
        <v>1.5575000000000001</v>
      </c>
    </row>
    <row r="820" spans="1:6" x14ac:dyDescent="0.35">
      <c r="A820" s="49" t="s">
        <v>594</v>
      </c>
      <c r="B820" s="49" t="s">
        <v>1271</v>
      </c>
      <c r="C820" s="49" t="str">
        <f t="shared" si="12"/>
        <v>43007-01_009</v>
      </c>
      <c r="D820" s="51">
        <v>2.5649999999999999</v>
      </c>
      <c r="E820" s="51">
        <v>2.6074999999999999</v>
      </c>
      <c r="F820" s="52">
        <v>1.6749999999999998</v>
      </c>
    </row>
    <row r="821" spans="1:6" x14ac:dyDescent="0.35">
      <c r="A821" s="49" t="s">
        <v>594</v>
      </c>
      <c r="B821" s="49" t="s">
        <v>1272</v>
      </c>
      <c r="C821" s="49" t="str">
        <f t="shared" si="12"/>
        <v>43007-01_057</v>
      </c>
      <c r="D821" s="51">
        <v>2.5736666666666665</v>
      </c>
      <c r="E821" s="51">
        <v>2.6146666666666669</v>
      </c>
      <c r="F821" s="52">
        <v>1.593333333333333</v>
      </c>
    </row>
    <row r="822" spans="1:6" x14ac:dyDescent="0.35">
      <c r="A822" s="49" t="s">
        <v>594</v>
      </c>
      <c r="B822" s="49" t="s">
        <v>1274</v>
      </c>
      <c r="C822" s="49" t="str">
        <f t="shared" si="12"/>
        <v>43007-01_SD2</v>
      </c>
      <c r="D822" s="51">
        <v>2.6244999999999998</v>
      </c>
      <c r="E822" s="51">
        <v>2.645</v>
      </c>
      <c r="F822" s="52">
        <v>0.78999999999999992</v>
      </c>
    </row>
    <row r="823" spans="1:6" x14ac:dyDescent="0.35">
      <c r="A823" s="49" t="s">
        <v>594</v>
      </c>
      <c r="B823" s="49" t="s">
        <v>1273</v>
      </c>
      <c r="C823" s="49" t="str">
        <f t="shared" si="12"/>
        <v>43007-01_SD5</v>
      </c>
      <c r="D823" s="51">
        <v>2.6245000000000003</v>
      </c>
      <c r="E823" s="51">
        <v>2.6449999999999996</v>
      </c>
      <c r="F823" s="52">
        <v>0.77499999999999991</v>
      </c>
    </row>
    <row r="824" spans="1:6" x14ac:dyDescent="0.35">
      <c r="A824" s="49" t="s">
        <v>419</v>
      </c>
      <c r="B824" s="49" t="s">
        <v>1279</v>
      </c>
      <c r="C824" s="49" t="str">
        <f t="shared" si="12"/>
        <v>40017-01_004</v>
      </c>
      <c r="D824" s="51">
        <v>2.6509999999999998</v>
      </c>
      <c r="E824" s="51">
        <v>2.6814999999999998</v>
      </c>
      <c r="F824" s="52">
        <v>1.1400000000000001</v>
      </c>
    </row>
    <row r="825" spans="1:6" x14ac:dyDescent="0.35">
      <c r="A825" s="49" t="s">
        <v>419</v>
      </c>
      <c r="B825" s="49" t="s">
        <v>1270</v>
      </c>
      <c r="C825" s="49" t="str">
        <f t="shared" si="12"/>
        <v>40017-01_008</v>
      </c>
      <c r="D825" s="51">
        <v>2.6716666666666669</v>
      </c>
      <c r="E825" s="51">
        <v>2.7080000000000002</v>
      </c>
      <c r="F825" s="52">
        <v>1.3566666666666667</v>
      </c>
    </row>
    <row r="826" spans="1:6" x14ac:dyDescent="0.35">
      <c r="A826" s="49" t="s">
        <v>419</v>
      </c>
      <c r="B826" s="49" t="s">
        <v>1271</v>
      </c>
      <c r="C826" s="49" t="str">
        <f t="shared" si="12"/>
        <v>40017-01_009</v>
      </c>
      <c r="D826" s="51">
        <v>2.6345000000000001</v>
      </c>
      <c r="E826" s="51">
        <v>2.6865000000000001</v>
      </c>
      <c r="F826" s="52">
        <v>1.96</v>
      </c>
    </row>
    <row r="827" spans="1:6" x14ac:dyDescent="0.35">
      <c r="A827" s="49" t="s">
        <v>419</v>
      </c>
      <c r="B827" s="49" t="s">
        <v>1272</v>
      </c>
      <c r="C827" s="49" t="str">
        <f t="shared" si="12"/>
        <v>40017-01_057</v>
      </c>
      <c r="D827" s="51">
        <v>2.6467499999999999</v>
      </c>
      <c r="E827" s="51">
        <v>2.68</v>
      </c>
      <c r="F827" s="52">
        <v>1.2574999999999998</v>
      </c>
    </row>
    <row r="828" spans="1:6" x14ac:dyDescent="0.35">
      <c r="A828" s="49" t="s">
        <v>419</v>
      </c>
      <c r="B828" s="49" t="s">
        <v>1273</v>
      </c>
      <c r="C828" s="49" t="str">
        <f t="shared" si="12"/>
        <v>40017-01_SD5</v>
      </c>
      <c r="D828" s="51">
        <v>2.7414000000000001</v>
      </c>
      <c r="E828" s="51">
        <v>2.7696000000000001</v>
      </c>
      <c r="F828" s="52">
        <v>1.03</v>
      </c>
    </row>
    <row r="829" spans="1:6" x14ac:dyDescent="0.35">
      <c r="A829" s="49" t="s">
        <v>846</v>
      </c>
      <c r="B829" s="49" t="s">
        <v>1281</v>
      </c>
      <c r="C829" s="49" t="str">
        <f t="shared" si="12"/>
        <v>46022-01_009M</v>
      </c>
      <c r="D829" s="51">
        <v>2.5840000000000001</v>
      </c>
      <c r="E829" s="51">
        <v>2.6579999999999999</v>
      </c>
      <c r="F829" s="52">
        <v>2.88</v>
      </c>
    </row>
    <row r="830" spans="1:6" x14ac:dyDescent="0.35">
      <c r="A830" s="49" t="s">
        <v>846</v>
      </c>
      <c r="B830" s="49" t="s">
        <v>1276</v>
      </c>
      <c r="C830" s="49" t="str">
        <f t="shared" si="12"/>
        <v>46022-01_010</v>
      </c>
      <c r="D830" s="51">
        <v>2.7050000000000001</v>
      </c>
      <c r="E830" s="51">
        <v>2.7349999999999999</v>
      </c>
      <c r="F830" s="52">
        <v>1.1100000000000001</v>
      </c>
    </row>
    <row r="831" spans="1:6" x14ac:dyDescent="0.35">
      <c r="A831" s="49" t="s">
        <v>846</v>
      </c>
      <c r="B831" s="49" t="s">
        <v>1290</v>
      </c>
      <c r="C831" s="49" t="str">
        <f t="shared" si="12"/>
        <v>46022-01_SD5M</v>
      </c>
      <c r="D831" s="51">
        <v>2.71</v>
      </c>
      <c r="E831" s="51">
        <v>2.7490000000000001</v>
      </c>
      <c r="F831" s="52">
        <v>1.45</v>
      </c>
    </row>
    <row r="832" spans="1:6" x14ac:dyDescent="0.35">
      <c r="A832" s="49" t="s">
        <v>848</v>
      </c>
      <c r="B832" s="49" t="s">
        <v>1279</v>
      </c>
      <c r="C832" s="49" t="str">
        <f t="shared" si="12"/>
        <v>46022A-01_004</v>
      </c>
      <c r="D832" s="51">
        <v>2.589</v>
      </c>
      <c r="E832" s="51">
        <v>2.621</v>
      </c>
      <c r="F832" s="52">
        <v>1.26</v>
      </c>
    </row>
    <row r="833" spans="1:6" x14ac:dyDescent="0.35">
      <c r="A833" s="49" t="s">
        <v>848</v>
      </c>
      <c r="B833" s="49" t="s">
        <v>1270</v>
      </c>
      <c r="C833" s="49" t="str">
        <f t="shared" si="12"/>
        <v>46022A-01_008</v>
      </c>
      <c r="D833" s="51">
        <v>2.653</v>
      </c>
      <c r="E833" s="51">
        <v>2.6890000000000001</v>
      </c>
      <c r="F833" s="52">
        <v>1.3450000000000002</v>
      </c>
    </row>
    <row r="834" spans="1:6" x14ac:dyDescent="0.35">
      <c r="A834" s="49" t="s">
        <v>848</v>
      </c>
      <c r="B834" s="49" t="s">
        <v>1271</v>
      </c>
      <c r="C834" s="49" t="str">
        <f t="shared" si="12"/>
        <v>46022A-01_009</v>
      </c>
      <c r="D834" s="51">
        <v>2.637</v>
      </c>
      <c r="E834" s="51">
        <v>2.6760000000000002</v>
      </c>
      <c r="F834" s="52">
        <v>1.5</v>
      </c>
    </row>
    <row r="835" spans="1:6" x14ac:dyDescent="0.35">
      <c r="A835" s="49" t="s">
        <v>848</v>
      </c>
      <c r="B835" s="49" t="s">
        <v>1276</v>
      </c>
      <c r="C835" s="49" t="str">
        <f t="shared" ref="C835:C898" si="13">A835&amp;"_"&amp;B835</f>
        <v>46022A-01_010</v>
      </c>
      <c r="D835" s="51">
        <v>2.77</v>
      </c>
      <c r="E835" s="51">
        <v>2.7839999999999998</v>
      </c>
      <c r="F835" s="52">
        <v>0.51</v>
      </c>
    </row>
    <row r="836" spans="1:6" x14ac:dyDescent="0.35">
      <c r="A836" s="49" t="s">
        <v>848</v>
      </c>
      <c r="B836" s="49" t="s">
        <v>1272</v>
      </c>
      <c r="C836" s="49" t="str">
        <f t="shared" si="13"/>
        <v>46022A-01_057</v>
      </c>
      <c r="D836" s="51">
        <v>2.641</v>
      </c>
      <c r="E836" s="51">
        <v>2.6740000000000004</v>
      </c>
      <c r="F836" s="52">
        <v>1.26</v>
      </c>
    </row>
    <row r="837" spans="1:6" x14ac:dyDescent="0.35">
      <c r="A837" s="49" t="s">
        <v>848</v>
      </c>
      <c r="B837" s="49" t="s">
        <v>1273</v>
      </c>
      <c r="C837" s="49" t="str">
        <f t="shared" si="13"/>
        <v>46022A-01_SD5</v>
      </c>
      <c r="D837" s="51">
        <v>2.778</v>
      </c>
      <c r="E837" s="51">
        <v>2.79</v>
      </c>
      <c r="F837" s="52">
        <v>0.42</v>
      </c>
    </row>
    <row r="838" spans="1:6" x14ac:dyDescent="0.35">
      <c r="A838" s="49" t="s">
        <v>849</v>
      </c>
      <c r="B838" s="49" t="s">
        <v>1279</v>
      </c>
      <c r="C838" s="49" t="str">
        <f t="shared" si="13"/>
        <v>46022B-01_004</v>
      </c>
      <c r="D838" s="51">
        <v>2.5659999999999998</v>
      </c>
      <c r="E838" s="51">
        <v>2.613</v>
      </c>
      <c r="F838" s="52">
        <v>1.83</v>
      </c>
    </row>
    <row r="839" spans="1:6" x14ac:dyDescent="0.35">
      <c r="A839" s="49" t="s">
        <v>849</v>
      </c>
      <c r="B839" s="49" t="s">
        <v>1270</v>
      </c>
      <c r="C839" s="49" t="str">
        <f t="shared" si="13"/>
        <v>46022B-01_008</v>
      </c>
      <c r="D839" s="51">
        <v>2.5884999999999998</v>
      </c>
      <c r="E839" s="51">
        <v>2.65</v>
      </c>
      <c r="F839" s="52">
        <v>2.3600000000000003</v>
      </c>
    </row>
    <row r="840" spans="1:6" x14ac:dyDescent="0.35">
      <c r="A840" s="49" t="s">
        <v>849</v>
      </c>
      <c r="B840" s="49" t="s">
        <v>1271</v>
      </c>
      <c r="C840" s="49" t="str">
        <f t="shared" si="13"/>
        <v>46022B-01_009</v>
      </c>
      <c r="D840" s="51">
        <v>2.5999999999999996</v>
      </c>
      <c r="E840" s="51">
        <v>2.6675</v>
      </c>
      <c r="F840" s="52">
        <v>2.605</v>
      </c>
    </row>
    <row r="841" spans="1:6" x14ac:dyDescent="0.35">
      <c r="A841" s="49" t="s">
        <v>849</v>
      </c>
      <c r="B841" s="49" t="s">
        <v>1276</v>
      </c>
      <c r="C841" s="49" t="str">
        <f t="shared" si="13"/>
        <v>46022B-01_010</v>
      </c>
      <c r="D841" s="51">
        <v>2.7280000000000002</v>
      </c>
      <c r="E841" s="51">
        <v>2.7530000000000001</v>
      </c>
      <c r="F841" s="52">
        <v>0.91500000000000004</v>
      </c>
    </row>
    <row r="842" spans="1:6" x14ac:dyDescent="0.35">
      <c r="A842" s="49" t="s">
        <v>849</v>
      </c>
      <c r="B842" s="49" t="s">
        <v>1272</v>
      </c>
      <c r="C842" s="49" t="str">
        <f t="shared" si="13"/>
        <v>46022B-01_057</v>
      </c>
      <c r="D842" s="51">
        <v>2.5936666666666661</v>
      </c>
      <c r="E842" s="51">
        <v>2.6423333333333332</v>
      </c>
      <c r="F842" s="52">
        <v>1.8666666666666665</v>
      </c>
    </row>
    <row r="843" spans="1:6" x14ac:dyDescent="0.35">
      <c r="A843" s="49" t="s">
        <v>849</v>
      </c>
      <c r="B843" s="49" t="s">
        <v>1273</v>
      </c>
      <c r="C843" s="49" t="str">
        <f t="shared" si="13"/>
        <v>46022B-01_SD5</v>
      </c>
      <c r="D843" s="51">
        <v>2.7233333333333332</v>
      </c>
      <c r="E843" s="51">
        <v>2.7556666666666665</v>
      </c>
      <c r="F843" s="52">
        <v>1.18</v>
      </c>
    </row>
    <row r="844" spans="1:6" x14ac:dyDescent="0.35">
      <c r="A844" s="49" t="s">
        <v>470</v>
      </c>
      <c r="B844" s="49" t="s">
        <v>1279</v>
      </c>
      <c r="C844" s="49" t="str">
        <f t="shared" si="13"/>
        <v>41016-01_004</v>
      </c>
      <c r="D844" s="51">
        <v>2.7229999999999999</v>
      </c>
      <c r="E844" s="51">
        <v>2.7469999999999999</v>
      </c>
      <c r="F844" s="52">
        <v>0.89</v>
      </c>
    </row>
    <row r="845" spans="1:6" x14ac:dyDescent="0.35">
      <c r="A845" s="49" t="s">
        <v>470</v>
      </c>
      <c r="B845" s="49" t="s">
        <v>1270</v>
      </c>
      <c r="C845" s="49" t="str">
        <f t="shared" si="13"/>
        <v>41016-01_008</v>
      </c>
      <c r="D845" s="51">
        <v>2.6779999999999995</v>
      </c>
      <c r="E845" s="51">
        <v>2.7240000000000002</v>
      </c>
      <c r="F845" s="52">
        <v>1.7299999999999998</v>
      </c>
    </row>
    <row r="846" spans="1:6" x14ac:dyDescent="0.35">
      <c r="A846" s="49" t="s">
        <v>470</v>
      </c>
      <c r="B846" s="49" t="s">
        <v>1271</v>
      </c>
      <c r="C846" s="49" t="str">
        <f t="shared" si="13"/>
        <v>41016-01_009</v>
      </c>
      <c r="D846" s="51">
        <v>2.653</v>
      </c>
      <c r="E846" s="51">
        <v>2.7110000000000003</v>
      </c>
      <c r="F846" s="52">
        <v>2.1999999999999997</v>
      </c>
    </row>
    <row r="847" spans="1:6" x14ac:dyDescent="0.35">
      <c r="A847" s="49" t="s">
        <v>470</v>
      </c>
      <c r="B847" s="49" t="s">
        <v>1276</v>
      </c>
      <c r="C847" s="49" t="str">
        <f t="shared" si="13"/>
        <v>41016-01_010</v>
      </c>
      <c r="D847" s="51">
        <v>2.734666666666667</v>
      </c>
      <c r="E847" s="51">
        <v>2.7733333333333334</v>
      </c>
      <c r="F847" s="52">
        <v>1.3966666666666665</v>
      </c>
    </row>
    <row r="848" spans="1:6" x14ac:dyDescent="0.35">
      <c r="A848" s="49" t="s">
        <v>470</v>
      </c>
      <c r="B848" s="49" t="s">
        <v>1272</v>
      </c>
      <c r="C848" s="49" t="str">
        <f t="shared" si="13"/>
        <v>41016-01_057</v>
      </c>
      <c r="D848" s="51">
        <v>2.67475</v>
      </c>
      <c r="E848" s="51">
        <v>2.7152500000000002</v>
      </c>
      <c r="F848" s="52">
        <v>1.5150000000000001</v>
      </c>
    </row>
    <row r="849" spans="1:6" x14ac:dyDescent="0.35">
      <c r="A849" s="49" t="s">
        <v>470</v>
      </c>
      <c r="B849" s="49" t="s">
        <v>1285</v>
      </c>
      <c r="C849" s="49" t="str">
        <f t="shared" si="13"/>
        <v>41016-01_067</v>
      </c>
      <c r="D849" s="51">
        <v>2.6480000000000001</v>
      </c>
      <c r="E849" s="51">
        <v>2.694</v>
      </c>
      <c r="F849" s="52">
        <v>1.71</v>
      </c>
    </row>
    <row r="850" spans="1:6" x14ac:dyDescent="0.35">
      <c r="A850" s="49" t="s">
        <v>470</v>
      </c>
      <c r="B850" s="49" t="s">
        <v>1273</v>
      </c>
      <c r="C850" s="49" t="str">
        <f t="shared" si="13"/>
        <v>41016-01_SD5</v>
      </c>
      <c r="D850" s="51">
        <v>2.7520000000000002</v>
      </c>
      <c r="E850" s="51">
        <v>2.7920000000000003</v>
      </c>
      <c r="F850" s="52">
        <v>1.4400000000000002</v>
      </c>
    </row>
    <row r="851" spans="1:6" x14ac:dyDescent="0.35">
      <c r="A851" s="49" t="s">
        <v>415</v>
      </c>
      <c r="B851" s="49" t="s">
        <v>1275</v>
      </c>
      <c r="C851" s="49" t="str">
        <f t="shared" si="13"/>
        <v>40013-01_004M</v>
      </c>
      <c r="D851" s="51">
        <v>2.6559999999999997</v>
      </c>
      <c r="E851" s="51">
        <v>2.6890000000000001</v>
      </c>
      <c r="F851" s="52">
        <v>1.2200000000000002</v>
      </c>
    </row>
    <row r="852" spans="1:6" x14ac:dyDescent="0.35">
      <c r="A852" s="49" t="s">
        <v>415</v>
      </c>
      <c r="B852" s="49" t="s">
        <v>1270</v>
      </c>
      <c r="C852" s="49" t="str">
        <f t="shared" si="13"/>
        <v>40013-01_008</v>
      </c>
      <c r="D852" s="51">
        <v>2.6870000000000003</v>
      </c>
      <c r="E852" s="51">
        <v>2.7222500000000003</v>
      </c>
      <c r="F852" s="52">
        <v>1.3025</v>
      </c>
    </row>
    <row r="853" spans="1:6" x14ac:dyDescent="0.35">
      <c r="A853" s="49" t="s">
        <v>415</v>
      </c>
      <c r="B853" s="49" t="s">
        <v>1281</v>
      </c>
      <c r="C853" s="49" t="str">
        <f t="shared" si="13"/>
        <v>40013-01_009M</v>
      </c>
      <c r="D853" s="51">
        <v>2.6743333333333332</v>
      </c>
      <c r="E853" s="51">
        <v>2.7166666666666668</v>
      </c>
      <c r="F853" s="52">
        <v>1.5933333333333335</v>
      </c>
    </row>
    <row r="854" spans="1:6" x14ac:dyDescent="0.35">
      <c r="A854" s="49" t="s">
        <v>415</v>
      </c>
      <c r="B854" s="49" t="s">
        <v>1272</v>
      </c>
      <c r="C854" s="49" t="str">
        <f t="shared" si="13"/>
        <v>40013-01_057</v>
      </c>
      <c r="D854" s="51">
        <v>2.6799999999999997</v>
      </c>
      <c r="E854" s="51">
        <v>2.7114000000000003</v>
      </c>
      <c r="F854" s="52">
        <v>1.1820000000000002</v>
      </c>
    </row>
    <row r="855" spans="1:6" x14ac:dyDescent="0.35">
      <c r="A855" s="49" t="s">
        <v>415</v>
      </c>
      <c r="B855" s="49" t="s">
        <v>1290</v>
      </c>
      <c r="C855" s="49" t="str">
        <f t="shared" si="13"/>
        <v>40013-01_SD5M</v>
      </c>
      <c r="D855" s="51">
        <v>2.7606666666666668</v>
      </c>
      <c r="E855" s="51">
        <v>2.7756666666666665</v>
      </c>
      <c r="F855" s="52">
        <v>0.54999999999999993</v>
      </c>
    </row>
    <row r="856" spans="1:6" x14ac:dyDescent="0.35">
      <c r="A856" s="49" t="s">
        <v>486</v>
      </c>
      <c r="B856" s="49" t="s">
        <v>1275</v>
      </c>
      <c r="C856" s="49" t="str">
        <f t="shared" si="13"/>
        <v>41023B-01_004M</v>
      </c>
      <c r="D856" s="51">
        <v>2.6384999999999996</v>
      </c>
      <c r="E856" s="51">
        <v>2.6805000000000003</v>
      </c>
      <c r="F856" s="52">
        <v>1.6150000000000002</v>
      </c>
    </row>
    <row r="857" spans="1:6" x14ac:dyDescent="0.35">
      <c r="A857" s="49" t="s">
        <v>486</v>
      </c>
      <c r="B857" s="49" t="s">
        <v>1276</v>
      </c>
      <c r="C857" s="49" t="str">
        <f t="shared" si="13"/>
        <v>41023B-01_010</v>
      </c>
      <c r="D857" s="51">
        <v>2.6803333333333335</v>
      </c>
      <c r="E857" s="51">
        <v>2.7240000000000002</v>
      </c>
      <c r="F857" s="52">
        <v>1.6333333333333335</v>
      </c>
    </row>
    <row r="858" spans="1:6" x14ac:dyDescent="0.35">
      <c r="A858" s="49" t="s">
        <v>486</v>
      </c>
      <c r="B858" s="49" t="s">
        <v>1272</v>
      </c>
      <c r="C858" s="49" t="str">
        <f t="shared" si="13"/>
        <v>41023B-01_057</v>
      </c>
      <c r="D858" s="51">
        <v>2.6585000000000001</v>
      </c>
      <c r="E858" s="51">
        <v>2.6989999999999998</v>
      </c>
      <c r="F858" s="52">
        <v>1.5116666666666665</v>
      </c>
    </row>
    <row r="859" spans="1:6" x14ac:dyDescent="0.35">
      <c r="A859" s="49" t="s">
        <v>486</v>
      </c>
      <c r="B859" s="49" t="s">
        <v>1309</v>
      </c>
      <c r="C859" s="49" t="str">
        <f t="shared" si="13"/>
        <v>41023B-01_1/2</v>
      </c>
      <c r="D859" s="51">
        <v>2.6736666666666671</v>
      </c>
      <c r="E859" s="51">
        <v>2.7143333333333328</v>
      </c>
      <c r="F859" s="52">
        <v>1.51</v>
      </c>
    </row>
    <row r="860" spans="1:6" x14ac:dyDescent="0.35">
      <c r="A860" s="49" t="s">
        <v>486</v>
      </c>
      <c r="B860" s="49" t="s">
        <v>1310</v>
      </c>
      <c r="C860" s="49" t="str">
        <f t="shared" si="13"/>
        <v>41023B-01_1/4</v>
      </c>
      <c r="D860" s="51">
        <v>2.6645000000000003</v>
      </c>
      <c r="E860" s="51">
        <v>2.714</v>
      </c>
      <c r="F860" s="52">
        <v>1.8599999999999999</v>
      </c>
    </row>
    <row r="861" spans="1:6" x14ac:dyDescent="0.35">
      <c r="A861" s="49" t="s">
        <v>486</v>
      </c>
      <c r="B861" s="49" t="s">
        <v>1311</v>
      </c>
      <c r="C861" s="49" t="str">
        <f t="shared" si="13"/>
        <v>41023B-01_3/4</v>
      </c>
      <c r="D861" s="51">
        <v>2.6766666666666672</v>
      </c>
      <c r="E861" s="51">
        <v>2.7136666666666667</v>
      </c>
      <c r="F861" s="52">
        <v>1.38</v>
      </c>
    </row>
    <row r="862" spans="1:6" x14ac:dyDescent="0.35">
      <c r="A862" s="49" t="s">
        <v>486</v>
      </c>
      <c r="B862" s="49" t="s">
        <v>1312</v>
      </c>
      <c r="C862" s="49" t="str">
        <f t="shared" si="13"/>
        <v>41023B-01_7/16</v>
      </c>
      <c r="D862" s="51">
        <v>2.6676666666666669</v>
      </c>
      <c r="E862" s="51">
        <v>2.7099999999999995</v>
      </c>
      <c r="F862" s="52">
        <v>1.58</v>
      </c>
    </row>
    <row r="863" spans="1:6" x14ac:dyDescent="0.35">
      <c r="A863" s="49" t="s">
        <v>486</v>
      </c>
      <c r="B863" s="49" t="s">
        <v>1290</v>
      </c>
      <c r="C863" s="49" t="str">
        <f t="shared" si="13"/>
        <v>41023B-01_SD5M</v>
      </c>
      <c r="D863" s="51">
        <v>2.7253333333333334</v>
      </c>
      <c r="E863" s="51">
        <v>2.76</v>
      </c>
      <c r="F863" s="52">
        <v>1.2666666666666666</v>
      </c>
    </row>
    <row r="864" spans="1:6" x14ac:dyDescent="0.35">
      <c r="A864" s="49" t="s">
        <v>413</v>
      </c>
      <c r="B864" s="49" t="s">
        <v>1270</v>
      </c>
      <c r="C864" s="49" t="str">
        <f t="shared" si="13"/>
        <v>40012-01_008</v>
      </c>
      <c r="D864" s="51">
        <v>2.5422500000000001</v>
      </c>
      <c r="E864" s="51">
        <v>2.6145</v>
      </c>
      <c r="F864" s="52">
        <v>2.8325</v>
      </c>
    </row>
    <row r="865" spans="1:6" x14ac:dyDescent="0.35">
      <c r="A865" s="49" t="s">
        <v>413</v>
      </c>
      <c r="B865" s="49" t="s">
        <v>1276</v>
      </c>
      <c r="C865" s="49" t="str">
        <f t="shared" si="13"/>
        <v>40012-01_010</v>
      </c>
      <c r="D865" s="51">
        <v>2.5856666666666666</v>
      </c>
      <c r="E865" s="51">
        <v>2.6509999999999998</v>
      </c>
      <c r="F865" s="52">
        <v>2.5066666666666668</v>
      </c>
    </row>
    <row r="866" spans="1:6" x14ac:dyDescent="0.35">
      <c r="A866" s="49" t="s">
        <v>413</v>
      </c>
      <c r="B866" s="49" t="s">
        <v>1272</v>
      </c>
      <c r="C866" s="49" t="str">
        <f t="shared" si="13"/>
        <v>40012-01_057</v>
      </c>
      <c r="D866" s="51">
        <v>2.5484999999999998</v>
      </c>
      <c r="E866" s="51">
        <v>2.6122500000000004</v>
      </c>
      <c r="F866" s="52">
        <v>2.5049999999999999</v>
      </c>
    </row>
    <row r="867" spans="1:6" x14ac:dyDescent="0.35">
      <c r="A867" s="49" t="s">
        <v>445</v>
      </c>
      <c r="B867" s="49" t="s">
        <v>1275</v>
      </c>
      <c r="C867" s="49" t="str">
        <f t="shared" si="13"/>
        <v>41003-01_004M</v>
      </c>
      <c r="D867" s="51">
        <v>2.649</v>
      </c>
      <c r="E867" s="51">
        <v>2.6799999999999997</v>
      </c>
      <c r="F867" s="52">
        <v>1.175</v>
      </c>
    </row>
    <row r="868" spans="1:6" x14ac:dyDescent="0.35">
      <c r="A868" s="49" t="s">
        <v>445</v>
      </c>
      <c r="B868" s="49" t="s">
        <v>1270</v>
      </c>
      <c r="C868" s="49" t="str">
        <f t="shared" si="13"/>
        <v>41003-01_008</v>
      </c>
      <c r="D868" s="51">
        <v>2.6574999999999998</v>
      </c>
      <c r="E868" s="51">
        <v>2.69875</v>
      </c>
      <c r="F868" s="52">
        <v>1.5549999999999999</v>
      </c>
    </row>
    <row r="869" spans="1:6" x14ac:dyDescent="0.35">
      <c r="A869" s="49" t="s">
        <v>445</v>
      </c>
      <c r="B869" s="49" t="s">
        <v>1271</v>
      </c>
      <c r="C869" s="49" t="str">
        <f t="shared" si="13"/>
        <v>41003-01_009</v>
      </c>
      <c r="D869" s="51">
        <v>2.6566666666666667</v>
      </c>
      <c r="E869" s="51">
        <v>2.7063333333333333</v>
      </c>
      <c r="F869" s="52">
        <v>1.8733333333333331</v>
      </c>
    </row>
    <row r="870" spans="1:6" x14ac:dyDescent="0.35">
      <c r="A870" s="49" t="s">
        <v>445</v>
      </c>
      <c r="B870" s="49" t="s">
        <v>1276</v>
      </c>
      <c r="C870" s="49" t="str">
        <f t="shared" si="13"/>
        <v>41003-01_010</v>
      </c>
      <c r="D870" s="51">
        <v>2.76</v>
      </c>
      <c r="E870" s="51">
        <v>2.7810000000000001</v>
      </c>
      <c r="F870" s="52">
        <v>0.74</v>
      </c>
    </row>
    <row r="871" spans="1:6" x14ac:dyDescent="0.35">
      <c r="A871" s="49" t="s">
        <v>445</v>
      </c>
      <c r="B871" s="49" t="s">
        <v>1284</v>
      </c>
      <c r="C871" s="49" t="str">
        <f t="shared" si="13"/>
        <v>41003-01_010M</v>
      </c>
      <c r="D871" s="51">
        <v>2.7469999999999999</v>
      </c>
      <c r="E871" s="51">
        <v>2.7769999999999997</v>
      </c>
      <c r="F871" s="52">
        <v>1.0833333333333333</v>
      </c>
    </row>
    <row r="872" spans="1:6" x14ac:dyDescent="0.35">
      <c r="A872" s="49" t="s">
        <v>445</v>
      </c>
      <c r="B872" s="49" t="s">
        <v>1272</v>
      </c>
      <c r="C872" s="49" t="str">
        <f t="shared" si="13"/>
        <v>41003-01_057</v>
      </c>
      <c r="D872" s="51">
        <v>2.6465000000000001</v>
      </c>
      <c r="E872" s="51">
        <v>2.6822499999999998</v>
      </c>
      <c r="F872" s="52">
        <v>1.35</v>
      </c>
    </row>
    <row r="873" spans="1:6" x14ac:dyDescent="0.35">
      <c r="A873" s="49" t="s">
        <v>445</v>
      </c>
      <c r="B873" s="49" t="s">
        <v>1277</v>
      </c>
      <c r="C873" s="49" t="str">
        <f t="shared" si="13"/>
        <v>41003-01_078M</v>
      </c>
      <c r="D873" s="51">
        <v>2.6893333333333334</v>
      </c>
      <c r="E873" s="51">
        <v>2.722</v>
      </c>
      <c r="F873" s="52">
        <v>1.2166666666666666</v>
      </c>
    </row>
    <row r="874" spans="1:6" x14ac:dyDescent="0.35">
      <c r="A874" s="49" t="s">
        <v>445</v>
      </c>
      <c r="B874" s="49" t="s">
        <v>1273</v>
      </c>
      <c r="C874" s="49" t="str">
        <f t="shared" si="13"/>
        <v>41003-01_SD5</v>
      </c>
      <c r="D874" s="51">
        <v>2.7282500000000001</v>
      </c>
      <c r="E874" s="51">
        <v>2.7632499999999998</v>
      </c>
      <c r="F874" s="52">
        <v>1.2725</v>
      </c>
    </row>
    <row r="875" spans="1:6" x14ac:dyDescent="0.35">
      <c r="A875" s="49" t="s">
        <v>643</v>
      </c>
      <c r="B875" s="49" t="s">
        <v>1270</v>
      </c>
      <c r="C875" s="49" t="str">
        <f t="shared" si="13"/>
        <v>43072-01_008</v>
      </c>
      <c r="D875" s="51">
        <v>2.6708333333333329</v>
      </c>
      <c r="E875" s="51">
        <v>2.6871666666666663</v>
      </c>
      <c r="F875" s="52">
        <v>0.61666666666666659</v>
      </c>
    </row>
    <row r="876" spans="1:6" x14ac:dyDescent="0.35">
      <c r="A876" s="49" t="s">
        <v>643</v>
      </c>
      <c r="B876" s="49" t="s">
        <v>1272</v>
      </c>
      <c r="C876" s="49" t="str">
        <f t="shared" si="13"/>
        <v>43072-01_057</v>
      </c>
      <c r="D876" s="51">
        <v>2.6814285714285715</v>
      </c>
      <c r="E876" s="51">
        <v>2.693857142857143</v>
      </c>
      <c r="F876" s="52">
        <v>0.46999999999999992</v>
      </c>
    </row>
    <row r="877" spans="1:6" x14ac:dyDescent="0.35">
      <c r="A877" s="49" t="s">
        <v>643</v>
      </c>
      <c r="B877" s="49" t="s">
        <v>1290</v>
      </c>
      <c r="C877" s="49" t="str">
        <f t="shared" si="13"/>
        <v>43072-01_SD5M</v>
      </c>
      <c r="D877" s="51">
        <v>2.6636666666666664</v>
      </c>
      <c r="E877" s="51">
        <v>2.6826666666666665</v>
      </c>
      <c r="F877" s="52">
        <v>0.70666666666666667</v>
      </c>
    </row>
    <row r="878" spans="1:6" x14ac:dyDescent="0.35">
      <c r="A878" s="49" t="s">
        <v>517</v>
      </c>
      <c r="B878" s="49" t="s">
        <v>1274</v>
      </c>
      <c r="C878" s="49" t="str">
        <f t="shared" si="13"/>
        <v>41060-01_SD2</v>
      </c>
      <c r="D878" s="51">
        <v>2.6332500000000003</v>
      </c>
      <c r="E878" s="51">
        <v>2.657</v>
      </c>
      <c r="F878" s="52">
        <v>0.89500000000000002</v>
      </c>
    </row>
    <row r="879" spans="1:6" x14ac:dyDescent="0.35">
      <c r="A879" s="49" t="s">
        <v>517</v>
      </c>
      <c r="B879" s="49" t="s">
        <v>1290</v>
      </c>
      <c r="C879" s="49" t="str">
        <f t="shared" si="13"/>
        <v>41060-01_SD5M</v>
      </c>
      <c r="D879" s="51">
        <v>2.656333333333333</v>
      </c>
      <c r="E879" s="51">
        <v>2.6803333333333335</v>
      </c>
      <c r="F879" s="52">
        <v>0.89</v>
      </c>
    </row>
    <row r="880" spans="1:6" x14ac:dyDescent="0.35">
      <c r="A880" s="49" t="s">
        <v>493</v>
      </c>
      <c r="B880" s="49" t="s">
        <v>1274</v>
      </c>
      <c r="C880" s="49" t="str">
        <f t="shared" si="13"/>
        <v>41031-01_SD2</v>
      </c>
      <c r="D880" s="51">
        <v>2.6190000000000002</v>
      </c>
      <c r="E880" s="51">
        <v>2.6476666666666664</v>
      </c>
      <c r="F880" s="52">
        <v>1.0833333333333335</v>
      </c>
    </row>
    <row r="881" spans="1:6" x14ac:dyDescent="0.35">
      <c r="A881" s="49" t="s">
        <v>493</v>
      </c>
      <c r="B881" s="49" t="s">
        <v>1273</v>
      </c>
      <c r="C881" s="49" t="str">
        <f t="shared" si="13"/>
        <v>41031-01_SD5</v>
      </c>
      <c r="D881" s="51">
        <v>2.6219999999999999</v>
      </c>
      <c r="E881" s="51">
        <v>2.66</v>
      </c>
      <c r="F881" s="52">
        <v>1.41</v>
      </c>
    </row>
    <row r="882" spans="1:6" x14ac:dyDescent="0.35">
      <c r="A882" s="49" t="s">
        <v>493</v>
      </c>
      <c r="B882" s="49" t="s">
        <v>1290</v>
      </c>
      <c r="C882" s="49" t="str">
        <f t="shared" si="13"/>
        <v>41031-01_SD5M</v>
      </c>
      <c r="D882" s="51">
        <v>2.6139999999999999</v>
      </c>
      <c r="E882" s="51">
        <v>2.6549999999999998</v>
      </c>
      <c r="F882" s="52">
        <v>1.56</v>
      </c>
    </row>
    <row r="883" spans="1:6" x14ac:dyDescent="0.35">
      <c r="A883" s="49" t="s">
        <v>495</v>
      </c>
      <c r="B883" s="49" t="s">
        <v>1279</v>
      </c>
      <c r="C883" s="49" t="str">
        <f t="shared" si="13"/>
        <v>41032-01_004</v>
      </c>
      <c r="D883" s="51">
        <v>2.6686666666666667</v>
      </c>
      <c r="E883" s="51">
        <v>2.7080000000000002</v>
      </c>
      <c r="F883" s="52">
        <v>1.47</v>
      </c>
    </row>
    <row r="884" spans="1:6" x14ac:dyDescent="0.35">
      <c r="A884" s="49" t="s">
        <v>495</v>
      </c>
      <c r="B884" s="49" t="s">
        <v>1270</v>
      </c>
      <c r="C884" s="49" t="str">
        <f t="shared" si="13"/>
        <v>41032-01_008</v>
      </c>
      <c r="D884" s="51">
        <v>2.6397499999999998</v>
      </c>
      <c r="E884" s="51">
        <v>2.6942500000000003</v>
      </c>
      <c r="F884" s="52">
        <v>2.0700000000000003</v>
      </c>
    </row>
    <row r="885" spans="1:6" x14ac:dyDescent="0.35">
      <c r="A885" s="49" t="s">
        <v>495</v>
      </c>
      <c r="B885" s="49" t="s">
        <v>1281</v>
      </c>
      <c r="C885" s="49" t="str">
        <f t="shared" si="13"/>
        <v>41032-01_009M</v>
      </c>
      <c r="D885" s="51">
        <v>2.6240000000000001</v>
      </c>
      <c r="E885" s="51">
        <v>2.6909999999999998</v>
      </c>
      <c r="F885" s="52">
        <v>2.56</v>
      </c>
    </row>
    <row r="886" spans="1:6" x14ac:dyDescent="0.35">
      <c r="A886" s="49" t="s">
        <v>495</v>
      </c>
      <c r="B886" s="49" t="s">
        <v>1276</v>
      </c>
      <c r="C886" s="49" t="str">
        <f t="shared" si="13"/>
        <v>41032-01_010</v>
      </c>
      <c r="D886" s="51">
        <v>2.6506666666666665</v>
      </c>
      <c r="E886" s="51">
        <v>2.7080000000000002</v>
      </c>
      <c r="F886" s="52">
        <v>2.1433333333333331</v>
      </c>
    </row>
    <row r="887" spans="1:6" x14ac:dyDescent="0.35">
      <c r="A887" s="49" t="s">
        <v>495</v>
      </c>
      <c r="B887" s="49" t="s">
        <v>1272</v>
      </c>
      <c r="C887" s="49" t="str">
        <f t="shared" si="13"/>
        <v>41032-01_057</v>
      </c>
      <c r="D887" s="51">
        <v>2.6532499999999999</v>
      </c>
      <c r="E887" s="51">
        <v>2.698</v>
      </c>
      <c r="F887" s="52">
        <v>1.6824999999999999</v>
      </c>
    </row>
    <row r="888" spans="1:6" x14ac:dyDescent="0.35">
      <c r="A888" s="49" t="s">
        <v>531</v>
      </c>
      <c r="B888" s="49" t="s">
        <v>1274</v>
      </c>
      <c r="C888" s="49" t="str">
        <f t="shared" si="13"/>
        <v>41069-01_SD2</v>
      </c>
      <c r="D888" s="51">
        <v>2.6310000000000002</v>
      </c>
      <c r="E888" s="51">
        <v>2.6535000000000002</v>
      </c>
      <c r="F888" s="52">
        <v>0.86</v>
      </c>
    </row>
    <row r="889" spans="1:6" x14ac:dyDescent="0.35">
      <c r="A889" s="49" t="s">
        <v>531</v>
      </c>
      <c r="B889" s="49" t="s">
        <v>1273</v>
      </c>
      <c r="C889" s="49" t="str">
        <f t="shared" si="13"/>
        <v>41069-01_SD5</v>
      </c>
      <c r="D889" s="51">
        <v>2.6280000000000001</v>
      </c>
      <c r="E889" s="51">
        <v>2.6509999999999998</v>
      </c>
      <c r="F889" s="52">
        <v>0.86</v>
      </c>
    </row>
    <row r="890" spans="1:6" x14ac:dyDescent="0.35">
      <c r="A890" s="49" t="s">
        <v>672</v>
      </c>
      <c r="B890" s="49" t="s">
        <v>1275</v>
      </c>
      <c r="C890" s="49" t="str">
        <f t="shared" si="13"/>
        <v>43094-01_004M</v>
      </c>
      <c r="D890" s="51">
        <v>2.6945000000000001</v>
      </c>
      <c r="E890" s="51">
        <v>2.7010000000000001</v>
      </c>
      <c r="F890" s="52">
        <v>0.23499999999999999</v>
      </c>
    </row>
    <row r="891" spans="1:6" x14ac:dyDescent="0.35">
      <c r="A891" s="49" t="s">
        <v>672</v>
      </c>
      <c r="B891" s="49" t="s">
        <v>1270</v>
      </c>
      <c r="C891" s="49" t="str">
        <f t="shared" si="13"/>
        <v>43094-01_008</v>
      </c>
      <c r="D891" s="51">
        <v>2.6754999999999995</v>
      </c>
      <c r="E891" s="51">
        <v>2.6895000000000002</v>
      </c>
      <c r="F891" s="52">
        <v>0.52500000000000002</v>
      </c>
    </row>
    <row r="892" spans="1:6" x14ac:dyDescent="0.35">
      <c r="A892" s="49" t="s">
        <v>672</v>
      </c>
      <c r="B892" s="49" t="s">
        <v>1271</v>
      </c>
      <c r="C892" s="49" t="str">
        <f t="shared" si="13"/>
        <v>43094-01_009</v>
      </c>
      <c r="D892" s="51">
        <v>2.6309999999999998</v>
      </c>
      <c r="E892" s="51">
        <v>2.6579999999999999</v>
      </c>
      <c r="F892" s="52">
        <v>1.02</v>
      </c>
    </row>
    <row r="893" spans="1:6" x14ac:dyDescent="0.35">
      <c r="A893" s="49" t="s">
        <v>672</v>
      </c>
      <c r="B893" s="49" t="s">
        <v>1281</v>
      </c>
      <c r="C893" s="49" t="str">
        <f t="shared" si="13"/>
        <v>43094-01_009M</v>
      </c>
      <c r="D893" s="51">
        <v>2.6520000000000001</v>
      </c>
      <c r="E893" s="51">
        <v>2.6745000000000001</v>
      </c>
      <c r="F893" s="52">
        <v>0.84499999999999997</v>
      </c>
    </row>
    <row r="894" spans="1:6" x14ac:dyDescent="0.35">
      <c r="A894" s="49" t="s">
        <v>672</v>
      </c>
      <c r="B894" s="49" t="s">
        <v>1272</v>
      </c>
      <c r="C894" s="49" t="str">
        <f t="shared" si="13"/>
        <v>43094-01_057</v>
      </c>
      <c r="D894" s="51">
        <v>2.6890000000000001</v>
      </c>
      <c r="E894" s="51">
        <v>2.6984999999999997</v>
      </c>
      <c r="F894" s="52">
        <v>0.35666666666666669</v>
      </c>
    </row>
    <row r="895" spans="1:6" x14ac:dyDescent="0.35">
      <c r="A895" s="49" t="s">
        <v>672</v>
      </c>
      <c r="B895" s="49" t="s">
        <v>1285</v>
      </c>
      <c r="C895" s="49" t="str">
        <f t="shared" si="13"/>
        <v>43094-01_067</v>
      </c>
      <c r="D895" s="51">
        <v>2.6829999999999998</v>
      </c>
      <c r="E895" s="51">
        <v>2.6960000000000002</v>
      </c>
      <c r="F895" s="52">
        <v>0.49</v>
      </c>
    </row>
    <row r="896" spans="1:6" x14ac:dyDescent="0.35">
      <c r="A896" s="49" t="s">
        <v>672</v>
      </c>
      <c r="B896" s="49" t="s">
        <v>1273</v>
      </c>
      <c r="C896" s="49" t="str">
        <f t="shared" si="13"/>
        <v>43094-01_SD5</v>
      </c>
      <c r="D896" s="51">
        <v>2.6659999999999999</v>
      </c>
      <c r="E896" s="51">
        <v>2.6833333333333336</v>
      </c>
      <c r="F896" s="52">
        <v>0.64333333333333342</v>
      </c>
    </row>
    <row r="897" spans="1:6" x14ac:dyDescent="0.35">
      <c r="A897" s="49" t="s">
        <v>675</v>
      </c>
      <c r="B897" s="49" t="s">
        <v>1274</v>
      </c>
      <c r="C897" s="49" t="str">
        <f t="shared" si="13"/>
        <v>43095-01_SD2</v>
      </c>
      <c r="D897" s="51">
        <v>2.5923333333333334</v>
      </c>
      <c r="E897" s="51">
        <v>2.6229999999999998</v>
      </c>
      <c r="F897" s="52">
        <v>1.1933333333333334</v>
      </c>
    </row>
    <row r="898" spans="1:6" x14ac:dyDescent="0.35">
      <c r="A898" s="49" t="s">
        <v>675</v>
      </c>
      <c r="B898" s="49" t="s">
        <v>1273</v>
      </c>
      <c r="C898" s="49" t="str">
        <f t="shared" si="13"/>
        <v>43095-01_SD5</v>
      </c>
      <c r="D898" s="51">
        <v>2.585</v>
      </c>
      <c r="E898" s="51">
        <v>2.6219999999999999</v>
      </c>
      <c r="F898" s="52">
        <v>1.43</v>
      </c>
    </row>
    <row r="899" spans="1:6" x14ac:dyDescent="0.35">
      <c r="A899" s="49" t="s">
        <v>668</v>
      </c>
      <c r="B899" s="49" t="s">
        <v>1274</v>
      </c>
      <c r="C899" s="49" t="str">
        <f t="shared" ref="C899:C962" si="14">A899&amp;"_"&amp;B899</f>
        <v>43088-01_SD2</v>
      </c>
      <c r="D899" s="51">
        <v>2.573</v>
      </c>
      <c r="E899" s="51">
        <v>2.6123333333333334</v>
      </c>
      <c r="F899" s="52">
        <v>1.5033333333333332</v>
      </c>
    </row>
    <row r="900" spans="1:6" x14ac:dyDescent="0.35">
      <c r="A900" s="49" t="s">
        <v>668</v>
      </c>
      <c r="B900" s="49" t="s">
        <v>1273</v>
      </c>
      <c r="C900" s="49" t="str">
        <f t="shared" si="14"/>
        <v>43088-01_SD5</v>
      </c>
      <c r="D900" s="51">
        <v>2.5779999999999998</v>
      </c>
      <c r="E900" s="51">
        <v>2.6160000000000001</v>
      </c>
      <c r="F900" s="52">
        <v>1.46</v>
      </c>
    </row>
    <row r="901" spans="1:6" x14ac:dyDescent="0.35">
      <c r="A901" s="49" t="s">
        <v>648</v>
      </c>
      <c r="B901" s="49" t="s">
        <v>1274</v>
      </c>
      <c r="C901" s="49" t="str">
        <f t="shared" si="14"/>
        <v>43075-01_SD2</v>
      </c>
      <c r="D901" s="51">
        <v>2.5946666666666669</v>
      </c>
      <c r="E901" s="51">
        <v>2.6263333333333336</v>
      </c>
      <c r="F901" s="52">
        <v>1.2266666666666666</v>
      </c>
    </row>
    <row r="902" spans="1:6" x14ac:dyDescent="0.35">
      <c r="A902" s="49" t="s">
        <v>648</v>
      </c>
      <c r="B902" s="49" t="s">
        <v>1273</v>
      </c>
      <c r="C902" s="49" t="str">
        <f t="shared" si="14"/>
        <v>43075-01_SD5</v>
      </c>
      <c r="D902" s="51">
        <v>2.5870000000000002</v>
      </c>
      <c r="E902" s="51">
        <v>2.621</v>
      </c>
      <c r="F902" s="52">
        <v>1.33</v>
      </c>
    </row>
    <row r="903" spans="1:6" x14ac:dyDescent="0.35">
      <c r="A903" s="49" t="s">
        <v>626</v>
      </c>
      <c r="B903" s="49" t="s">
        <v>1270</v>
      </c>
      <c r="C903" s="49" t="str">
        <f t="shared" si="14"/>
        <v>43044-01_008</v>
      </c>
      <c r="D903" s="51">
        <v>2.5367500000000001</v>
      </c>
      <c r="E903" s="51">
        <v>2.5917500000000002</v>
      </c>
      <c r="F903" s="52">
        <v>2.1575000000000002</v>
      </c>
    </row>
    <row r="904" spans="1:6" x14ac:dyDescent="0.35">
      <c r="A904" s="49" t="s">
        <v>626</v>
      </c>
      <c r="B904" s="49" t="s">
        <v>1271</v>
      </c>
      <c r="C904" s="49" t="str">
        <f t="shared" si="14"/>
        <v>43044-01_009</v>
      </c>
      <c r="D904" s="51">
        <v>2.5259999999999998</v>
      </c>
      <c r="E904" s="51">
        <v>2.5819999999999999</v>
      </c>
      <c r="F904" s="52">
        <v>2.21</v>
      </c>
    </row>
    <row r="905" spans="1:6" x14ac:dyDescent="0.35">
      <c r="A905" s="49" t="s">
        <v>626</v>
      </c>
      <c r="B905" s="49" t="s">
        <v>1272</v>
      </c>
      <c r="C905" s="49" t="str">
        <f t="shared" si="14"/>
        <v>43044-01_057</v>
      </c>
      <c r="D905" s="51">
        <v>2.5390000000000001</v>
      </c>
      <c r="E905" s="51">
        <v>2.5921999999999996</v>
      </c>
      <c r="F905" s="52">
        <v>2.0939999999999999</v>
      </c>
    </row>
    <row r="906" spans="1:6" x14ac:dyDescent="0.35">
      <c r="A906" s="49" t="s">
        <v>626</v>
      </c>
      <c r="B906" s="49" t="s">
        <v>1274</v>
      </c>
      <c r="C906" s="49" t="str">
        <f t="shared" si="14"/>
        <v>43044-01_SD2</v>
      </c>
      <c r="D906" s="51">
        <v>2.6004999999999998</v>
      </c>
      <c r="E906" s="51">
        <v>2.6315</v>
      </c>
      <c r="F906" s="52">
        <v>1.1850000000000001</v>
      </c>
    </row>
    <row r="907" spans="1:6" x14ac:dyDescent="0.35">
      <c r="A907" s="49" t="s">
        <v>759</v>
      </c>
      <c r="B907" s="49" t="s">
        <v>1274</v>
      </c>
      <c r="C907" s="49" t="str">
        <f t="shared" si="14"/>
        <v>44040-01_SD2</v>
      </c>
      <c r="D907" s="51">
        <v>2.5505</v>
      </c>
      <c r="E907" s="51">
        <v>2.5964999999999998</v>
      </c>
      <c r="F907" s="52">
        <v>1.79</v>
      </c>
    </row>
    <row r="908" spans="1:6" x14ac:dyDescent="0.35">
      <c r="A908" s="49" t="s">
        <v>1032</v>
      </c>
      <c r="B908" s="49" t="s">
        <v>1274</v>
      </c>
      <c r="C908" s="49" t="str">
        <f t="shared" si="14"/>
        <v>48050-01_SD2</v>
      </c>
      <c r="D908" s="51">
        <v>2.6073333333333335</v>
      </c>
      <c r="E908" s="51">
        <v>2.6483333333333334</v>
      </c>
      <c r="F908" s="52">
        <v>1.5666666666666667</v>
      </c>
    </row>
    <row r="909" spans="1:6" x14ac:dyDescent="0.35">
      <c r="A909" s="49" t="s">
        <v>1024</v>
      </c>
      <c r="B909" s="49" t="s">
        <v>1270</v>
      </c>
      <c r="C909" s="49" t="str">
        <f t="shared" si="14"/>
        <v>48041-01_008</v>
      </c>
      <c r="D909" s="51">
        <v>2.5310000000000001</v>
      </c>
      <c r="E909" s="51">
        <v>2.601</v>
      </c>
      <c r="F909" s="52">
        <v>2.76</v>
      </c>
    </row>
    <row r="910" spans="1:6" x14ac:dyDescent="0.35">
      <c r="A910" s="49" t="s">
        <v>1024</v>
      </c>
      <c r="B910" s="49" t="s">
        <v>1272</v>
      </c>
      <c r="C910" s="49" t="str">
        <f t="shared" si="14"/>
        <v>48041-01_057</v>
      </c>
      <c r="D910" s="51">
        <v>2.5459999999999998</v>
      </c>
      <c r="E910" s="51">
        <v>2.61</v>
      </c>
      <c r="F910" s="52">
        <v>2.5</v>
      </c>
    </row>
    <row r="911" spans="1:6" x14ac:dyDescent="0.35">
      <c r="A911" s="49" t="s">
        <v>1024</v>
      </c>
      <c r="B911" s="49" t="s">
        <v>1274</v>
      </c>
      <c r="C911" s="49" t="str">
        <f t="shared" si="14"/>
        <v>48041-01_SD2</v>
      </c>
      <c r="D911" s="51">
        <v>2.569</v>
      </c>
      <c r="E911" s="51">
        <v>2.6190000000000002</v>
      </c>
      <c r="F911" s="52">
        <v>1.94</v>
      </c>
    </row>
    <row r="912" spans="1:6" x14ac:dyDescent="0.35">
      <c r="A912" s="49" t="s">
        <v>1020</v>
      </c>
      <c r="B912" s="49" t="s">
        <v>1272</v>
      </c>
      <c r="C912" s="49" t="str">
        <f t="shared" si="14"/>
        <v>48038-01_057</v>
      </c>
      <c r="D912" s="51">
        <v>2.4319999999999999</v>
      </c>
      <c r="E912" s="51">
        <v>2.496</v>
      </c>
      <c r="F912" s="52">
        <v>2.63</v>
      </c>
    </row>
    <row r="913" spans="1:6" x14ac:dyDescent="0.35">
      <c r="A913" s="49" t="s">
        <v>1020</v>
      </c>
      <c r="B913" s="49" t="s">
        <v>1274</v>
      </c>
      <c r="C913" s="49" t="str">
        <f t="shared" si="14"/>
        <v>48038-01_SD2</v>
      </c>
      <c r="D913" s="51">
        <v>2.5840000000000001</v>
      </c>
      <c r="E913" s="51">
        <v>2.6120000000000001</v>
      </c>
      <c r="F913" s="52">
        <v>1.0900000000000001</v>
      </c>
    </row>
    <row r="914" spans="1:6" x14ac:dyDescent="0.35">
      <c r="A914" s="49" t="s">
        <v>801</v>
      </c>
      <c r="B914" s="49" t="s">
        <v>1274</v>
      </c>
      <c r="C914" s="49" t="str">
        <f t="shared" si="14"/>
        <v>45016-01_SD2</v>
      </c>
      <c r="D914" s="51">
        <v>2.6080000000000001</v>
      </c>
      <c r="E914" s="51">
        <v>2.66</v>
      </c>
      <c r="F914" s="52">
        <v>1.98</v>
      </c>
    </row>
    <row r="915" spans="1:6" x14ac:dyDescent="0.35">
      <c r="A915" s="49" t="s">
        <v>402</v>
      </c>
      <c r="B915" s="49" t="s">
        <v>1270</v>
      </c>
      <c r="C915" s="49" t="str">
        <f t="shared" si="14"/>
        <v>40005-01_008</v>
      </c>
      <c r="D915" s="51">
        <v>2.58</v>
      </c>
      <c r="E915" s="51">
        <v>2.6395</v>
      </c>
      <c r="F915" s="52">
        <v>2.3050000000000002</v>
      </c>
    </row>
    <row r="916" spans="1:6" x14ac:dyDescent="0.35">
      <c r="A916" s="49" t="s">
        <v>402</v>
      </c>
      <c r="B916" s="49" t="s">
        <v>1272</v>
      </c>
      <c r="C916" s="49" t="str">
        <f t="shared" si="14"/>
        <v>40005-01_057</v>
      </c>
      <c r="D916" s="51">
        <v>2.5630000000000002</v>
      </c>
      <c r="E916" s="51">
        <v>2.6190000000000002</v>
      </c>
      <c r="F916" s="52">
        <v>2.1859999999999999</v>
      </c>
    </row>
    <row r="917" spans="1:6" x14ac:dyDescent="0.35">
      <c r="A917" s="49" t="s">
        <v>402</v>
      </c>
      <c r="B917" s="49" t="s">
        <v>1282</v>
      </c>
      <c r="C917" s="49" t="str">
        <f t="shared" si="14"/>
        <v>40005-01_068</v>
      </c>
      <c r="D917" s="51">
        <v>2.6059999999999999</v>
      </c>
      <c r="E917" s="51">
        <v>2.6537499999999996</v>
      </c>
      <c r="F917" s="52">
        <v>1.8374999999999999</v>
      </c>
    </row>
    <row r="918" spans="1:6" x14ac:dyDescent="0.35">
      <c r="A918" s="49" t="s">
        <v>402</v>
      </c>
      <c r="B918" s="49" t="s">
        <v>1277</v>
      </c>
      <c r="C918" s="49" t="str">
        <f t="shared" si="14"/>
        <v>40005-01_078M</v>
      </c>
      <c r="D918" s="51">
        <v>2.5655000000000001</v>
      </c>
      <c r="E918" s="51">
        <v>2.62</v>
      </c>
      <c r="F918" s="52">
        <v>2.13</v>
      </c>
    </row>
    <row r="919" spans="1:6" x14ac:dyDescent="0.35">
      <c r="A919" s="49" t="s">
        <v>402</v>
      </c>
      <c r="B919" s="49" t="s">
        <v>1273</v>
      </c>
      <c r="C919" s="49" t="str">
        <f t="shared" si="14"/>
        <v>40005-01_SD5</v>
      </c>
      <c r="D919" s="51">
        <v>2.7153333333333332</v>
      </c>
      <c r="E919" s="51">
        <v>2.7496666666666667</v>
      </c>
      <c r="F919" s="52">
        <v>1.26</v>
      </c>
    </row>
    <row r="920" spans="1:6" x14ac:dyDescent="0.35">
      <c r="A920" s="49" t="s">
        <v>434</v>
      </c>
      <c r="B920" s="49" t="s">
        <v>1272</v>
      </c>
      <c r="C920" s="49" t="str">
        <f t="shared" si="14"/>
        <v>40032-01_057</v>
      </c>
      <c r="D920" s="51">
        <v>2.5702500000000001</v>
      </c>
      <c r="E920" s="51">
        <v>2.6219999999999999</v>
      </c>
      <c r="F920" s="52">
        <v>2.0175000000000001</v>
      </c>
    </row>
    <row r="921" spans="1:6" x14ac:dyDescent="0.35">
      <c r="A921" s="49" t="s">
        <v>882</v>
      </c>
      <c r="B921" s="49" t="s">
        <v>1272</v>
      </c>
      <c r="C921" s="49" t="str">
        <f t="shared" si="14"/>
        <v>47009-01_057</v>
      </c>
      <c r="D921" s="51">
        <v>2.63375</v>
      </c>
      <c r="E921" s="51">
        <v>2.6757499999999999</v>
      </c>
      <c r="F921" s="52">
        <v>1.6024999999999998</v>
      </c>
    </row>
    <row r="922" spans="1:6" x14ac:dyDescent="0.35">
      <c r="A922" s="49" t="s">
        <v>882</v>
      </c>
      <c r="B922" s="49" t="s">
        <v>1274</v>
      </c>
      <c r="C922" s="49" t="str">
        <f t="shared" si="14"/>
        <v>47009-01_SD2</v>
      </c>
      <c r="D922" s="51">
        <v>2.63225</v>
      </c>
      <c r="E922" s="51">
        <v>2.6679999999999997</v>
      </c>
      <c r="F922" s="52">
        <v>1.355</v>
      </c>
    </row>
    <row r="923" spans="1:6" x14ac:dyDescent="0.35">
      <c r="A923" s="49" t="s">
        <v>715</v>
      </c>
      <c r="B923" s="49" t="s">
        <v>1270</v>
      </c>
      <c r="C923" s="49" t="str">
        <f t="shared" si="14"/>
        <v>44005-01_008</v>
      </c>
      <c r="D923" s="51">
        <v>2.5315000000000003</v>
      </c>
      <c r="E923" s="51">
        <v>2.5882500000000004</v>
      </c>
      <c r="F923" s="52">
        <v>2.2399999999999998</v>
      </c>
    </row>
    <row r="924" spans="1:6" x14ac:dyDescent="0.35">
      <c r="A924" s="49" t="s">
        <v>715</v>
      </c>
      <c r="B924" s="49" t="s">
        <v>1272</v>
      </c>
      <c r="C924" s="49" t="str">
        <f t="shared" si="14"/>
        <v>44005-01_057</v>
      </c>
      <c r="D924" s="51">
        <v>2.5337500000000004</v>
      </c>
      <c r="E924" s="51">
        <v>2.5905</v>
      </c>
      <c r="F924" s="52">
        <v>2.2475000000000001</v>
      </c>
    </row>
    <row r="925" spans="1:6" x14ac:dyDescent="0.35">
      <c r="A925" s="49" t="s">
        <v>715</v>
      </c>
      <c r="B925" s="49" t="s">
        <v>1274</v>
      </c>
      <c r="C925" s="49" t="str">
        <f t="shared" si="14"/>
        <v>44005-01_SD2</v>
      </c>
      <c r="D925" s="51">
        <v>2.5754999999999999</v>
      </c>
      <c r="E925" s="51">
        <v>2.6174999999999997</v>
      </c>
      <c r="F925" s="52">
        <v>1.6324999999999998</v>
      </c>
    </row>
    <row r="926" spans="1:6" x14ac:dyDescent="0.35">
      <c r="A926" s="49" t="s">
        <v>719</v>
      </c>
      <c r="B926" s="49" t="s">
        <v>1274</v>
      </c>
      <c r="C926" s="49" t="str">
        <f t="shared" si="14"/>
        <v>44009-01_SD2</v>
      </c>
      <c r="D926" s="51">
        <v>2.5369999999999999</v>
      </c>
      <c r="E926" s="51">
        <v>2.5922499999999999</v>
      </c>
      <c r="F926" s="52">
        <v>2.17</v>
      </c>
    </row>
    <row r="927" spans="1:6" x14ac:dyDescent="0.35">
      <c r="A927" s="49" t="s">
        <v>855</v>
      </c>
      <c r="B927" s="49" t="s">
        <v>1270</v>
      </c>
      <c r="C927" s="49" t="str">
        <f t="shared" si="14"/>
        <v>46028-01_008</v>
      </c>
      <c r="D927" s="51">
        <v>2.6234999999999999</v>
      </c>
      <c r="E927" s="51">
        <v>2.6692499999999999</v>
      </c>
      <c r="F927" s="52">
        <v>1.74</v>
      </c>
    </row>
    <row r="928" spans="1:6" x14ac:dyDescent="0.35">
      <c r="A928" s="49" t="s">
        <v>855</v>
      </c>
      <c r="B928" s="49" t="s">
        <v>1272</v>
      </c>
      <c r="C928" s="49" t="str">
        <f t="shared" si="14"/>
        <v>46028-01_057</v>
      </c>
      <c r="D928" s="51">
        <v>2.637</v>
      </c>
      <c r="E928" s="51">
        <v>2.6792499999999997</v>
      </c>
      <c r="F928" s="52">
        <v>1.5950000000000002</v>
      </c>
    </row>
    <row r="929" spans="1:6" x14ac:dyDescent="0.35">
      <c r="A929" s="49" t="s">
        <v>855</v>
      </c>
      <c r="B929" s="49" t="s">
        <v>1274</v>
      </c>
      <c r="C929" s="49" t="str">
        <f t="shared" si="14"/>
        <v>46028-01_SD2</v>
      </c>
      <c r="D929" s="51">
        <v>2.629</v>
      </c>
      <c r="E929" s="51">
        <v>2.6653333333333333</v>
      </c>
      <c r="F929" s="52">
        <v>1.3766666666666669</v>
      </c>
    </row>
    <row r="930" spans="1:6" x14ac:dyDescent="0.35">
      <c r="A930" s="49" t="s">
        <v>1313</v>
      </c>
      <c r="B930" s="49" t="s">
        <v>1270</v>
      </c>
      <c r="C930" s="49" t="str">
        <f t="shared" si="14"/>
        <v>49007A-01_008</v>
      </c>
      <c r="D930" s="51">
        <v>2.5700000000000003</v>
      </c>
      <c r="E930" s="51">
        <v>2.625</v>
      </c>
      <c r="F930" s="52">
        <v>2.1550000000000002</v>
      </c>
    </row>
    <row r="931" spans="1:6" x14ac:dyDescent="0.35">
      <c r="A931" s="49" t="s">
        <v>1313</v>
      </c>
      <c r="B931" s="49" t="s">
        <v>1272</v>
      </c>
      <c r="C931" s="49" t="str">
        <f t="shared" si="14"/>
        <v>49007A-01_057</v>
      </c>
      <c r="D931" s="51">
        <v>2.5815000000000001</v>
      </c>
      <c r="E931" s="51">
        <v>2.6295000000000002</v>
      </c>
      <c r="F931" s="52">
        <v>1.855</v>
      </c>
    </row>
    <row r="932" spans="1:6" x14ac:dyDescent="0.35">
      <c r="A932" s="49" t="s">
        <v>824</v>
      </c>
      <c r="B932" s="49" t="s">
        <v>1279</v>
      </c>
      <c r="C932" s="49" t="str">
        <f t="shared" si="14"/>
        <v>46002A-01_004</v>
      </c>
      <c r="D932" s="51">
        <v>2.5873333333333335</v>
      </c>
      <c r="E932" s="51">
        <v>2.6280000000000001</v>
      </c>
      <c r="F932" s="52">
        <v>1.55</v>
      </c>
    </row>
    <row r="933" spans="1:6" x14ac:dyDescent="0.35">
      <c r="A933" s="49" t="s">
        <v>824</v>
      </c>
      <c r="B933" s="49" t="s">
        <v>1270</v>
      </c>
      <c r="C933" s="49" t="str">
        <f t="shared" si="14"/>
        <v>46002A-01_008</v>
      </c>
      <c r="D933" s="51">
        <v>2.6123333333333334</v>
      </c>
      <c r="E933" s="51">
        <v>2.6619999999999995</v>
      </c>
      <c r="F933" s="52">
        <v>1.8866666666666667</v>
      </c>
    </row>
    <row r="934" spans="1:6" x14ac:dyDescent="0.35">
      <c r="A934" s="49" t="s">
        <v>824</v>
      </c>
      <c r="B934" s="49" t="s">
        <v>1271</v>
      </c>
      <c r="C934" s="49" t="str">
        <f t="shared" si="14"/>
        <v>46002A-01_009</v>
      </c>
      <c r="D934" s="51">
        <v>2.6123333333333334</v>
      </c>
      <c r="E934" s="51">
        <v>2.6716666666666669</v>
      </c>
      <c r="F934" s="52">
        <v>2.2533333333333334</v>
      </c>
    </row>
    <row r="935" spans="1:6" x14ac:dyDescent="0.35">
      <c r="A935" s="49" t="s">
        <v>824</v>
      </c>
      <c r="B935" s="49" t="s">
        <v>1276</v>
      </c>
      <c r="C935" s="49" t="str">
        <f t="shared" si="14"/>
        <v>46002A-01_010</v>
      </c>
      <c r="D935" s="51">
        <v>2.7433333333333336</v>
      </c>
      <c r="E935" s="51">
        <v>2.765333333333333</v>
      </c>
      <c r="F935" s="52">
        <v>0.80666666666666664</v>
      </c>
    </row>
    <row r="936" spans="1:6" x14ac:dyDescent="0.35">
      <c r="A936" s="49" t="s">
        <v>824</v>
      </c>
      <c r="B936" s="49" t="s">
        <v>1272</v>
      </c>
      <c r="C936" s="49" t="str">
        <f t="shared" si="14"/>
        <v>46002A-01_057</v>
      </c>
      <c r="D936" s="51">
        <v>2.6046666666666667</v>
      </c>
      <c r="E936" s="51">
        <v>2.6493333333333333</v>
      </c>
      <c r="F936" s="52">
        <v>1.7166666666666668</v>
      </c>
    </row>
    <row r="937" spans="1:6" x14ac:dyDescent="0.35">
      <c r="A937" s="49" t="s">
        <v>824</v>
      </c>
      <c r="B937" s="49" t="s">
        <v>1273</v>
      </c>
      <c r="C937" s="49" t="str">
        <f t="shared" si="14"/>
        <v>46002A-01_SD5</v>
      </c>
      <c r="D937" s="51">
        <v>2.7446666666666668</v>
      </c>
      <c r="E937" s="51">
        <v>2.7639999999999998</v>
      </c>
      <c r="F937" s="52">
        <v>0.70333333333333325</v>
      </c>
    </row>
    <row r="938" spans="1:6" x14ac:dyDescent="0.35">
      <c r="A938" s="49" t="s">
        <v>953</v>
      </c>
      <c r="B938" s="49" t="s">
        <v>1270</v>
      </c>
      <c r="C938" s="49" t="str">
        <f t="shared" si="14"/>
        <v>47087-01_008</v>
      </c>
      <c r="D938" s="51">
        <v>2.5823999999999998</v>
      </c>
      <c r="E938" s="51">
        <v>2.6301999999999999</v>
      </c>
      <c r="F938" s="52">
        <v>1.8539999999999999</v>
      </c>
    </row>
    <row r="939" spans="1:6" x14ac:dyDescent="0.35">
      <c r="A939" s="49" t="s">
        <v>953</v>
      </c>
      <c r="B939" s="49" t="s">
        <v>1271</v>
      </c>
      <c r="C939" s="49" t="str">
        <f t="shared" si="14"/>
        <v>47087-01_009</v>
      </c>
      <c r="D939" s="51">
        <v>2.5470000000000002</v>
      </c>
      <c r="E939" s="51">
        <v>2.6019999999999999</v>
      </c>
      <c r="F939" s="52">
        <v>2.1666666666666665</v>
      </c>
    </row>
    <row r="940" spans="1:6" x14ac:dyDescent="0.35">
      <c r="A940" s="49" t="s">
        <v>953</v>
      </c>
      <c r="B940" s="49" t="s">
        <v>1272</v>
      </c>
      <c r="C940" s="49" t="str">
        <f t="shared" si="14"/>
        <v>47087-01_057</v>
      </c>
      <c r="D940" s="51">
        <v>2.6006</v>
      </c>
      <c r="E940" s="51">
        <v>2.6431999999999998</v>
      </c>
      <c r="F940" s="52">
        <v>1.6359999999999999</v>
      </c>
    </row>
    <row r="941" spans="1:6" x14ac:dyDescent="0.35">
      <c r="A941" s="49" t="s">
        <v>953</v>
      </c>
      <c r="B941" s="49" t="s">
        <v>1274</v>
      </c>
      <c r="C941" s="49" t="str">
        <f t="shared" si="14"/>
        <v>47087-01_SD2</v>
      </c>
      <c r="D941" s="51">
        <v>2.621</v>
      </c>
      <c r="E941" s="51">
        <v>2.6520000000000001</v>
      </c>
      <c r="F941" s="52">
        <v>1.17</v>
      </c>
    </row>
    <row r="942" spans="1:6" x14ac:dyDescent="0.35">
      <c r="A942" s="49" t="s">
        <v>899</v>
      </c>
      <c r="B942" s="49" t="s">
        <v>1270</v>
      </c>
      <c r="C942" s="49" t="str">
        <f t="shared" si="14"/>
        <v>47029-01_008</v>
      </c>
      <c r="D942" s="51">
        <v>2.5941999999999998</v>
      </c>
      <c r="E942" s="51">
        <v>2.6399999999999997</v>
      </c>
      <c r="F942" s="52">
        <v>1.752</v>
      </c>
    </row>
    <row r="943" spans="1:6" x14ac:dyDescent="0.35">
      <c r="A943" s="49" t="s">
        <v>899</v>
      </c>
      <c r="B943" s="49" t="s">
        <v>1271</v>
      </c>
      <c r="C943" s="49" t="str">
        <f t="shared" si="14"/>
        <v>47029-01_009</v>
      </c>
      <c r="D943" s="51">
        <v>2.5553333333333335</v>
      </c>
      <c r="E943" s="51">
        <v>2.6133333333333333</v>
      </c>
      <c r="F943" s="52">
        <v>2.2600000000000002</v>
      </c>
    </row>
    <row r="944" spans="1:6" x14ac:dyDescent="0.35">
      <c r="A944" s="49" t="s">
        <v>899</v>
      </c>
      <c r="B944" s="49" t="s">
        <v>1272</v>
      </c>
      <c r="C944" s="49" t="str">
        <f t="shared" si="14"/>
        <v>47029-01_057</v>
      </c>
      <c r="D944" s="51">
        <v>2.6135999999999999</v>
      </c>
      <c r="E944" s="51">
        <v>2.6536</v>
      </c>
      <c r="F944" s="52">
        <v>1.522</v>
      </c>
    </row>
    <row r="945" spans="1:6" x14ac:dyDescent="0.35">
      <c r="A945" s="49" t="s">
        <v>899</v>
      </c>
      <c r="B945" s="49" t="s">
        <v>1274</v>
      </c>
      <c r="C945" s="49" t="str">
        <f t="shared" si="14"/>
        <v>47029-01_SD2</v>
      </c>
      <c r="D945" s="51">
        <v>2.6025</v>
      </c>
      <c r="E945" s="51">
        <v>2.6375000000000002</v>
      </c>
      <c r="F945" s="52">
        <v>1.3474999999999999</v>
      </c>
    </row>
    <row r="946" spans="1:6" x14ac:dyDescent="0.35">
      <c r="A946" s="49" t="s">
        <v>944</v>
      </c>
      <c r="B946" s="49" t="s">
        <v>1270</v>
      </c>
      <c r="C946" s="49" t="str">
        <f t="shared" si="14"/>
        <v>47079-01_008</v>
      </c>
      <c r="D946" s="51">
        <v>2.5553999999999997</v>
      </c>
      <c r="E946" s="51">
        <v>2.6084000000000001</v>
      </c>
      <c r="F946" s="52">
        <v>2.0840000000000001</v>
      </c>
    </row>
    <row r="947" spans="1:6" x14ac:dyDescent="0.35">
      <c r="A947" s="49" t="s">
        <v>944</v>
      </c>
      <c r="B947" s="49" t="s">
        <v>1271</v>
      </c>
      <c r="C947" s="49" t="str">
        <f t="shared" si="14"/>
        <v>47079-01_009</v>
      </c>
      <c r="D947" s="51">
        <v>2.5156666666666667</v>
      </c>
      <c r="E947" s="51">
        <v>2.5806666666666667</v>
      </c>
      <c r="F947" s="52">
        <v>2.59</v>
      </c>
    </row>
    <row r="948" spans="1:6" x14ac:dyDescent="0.35">
      <c r="A948" s="49" t="s">
        <v>944</v>
      </c>
      <c r="B948" s="49" t="s">
        <v>1272</v>
      </c>
      <c r="C948" s="49" t="str">
        <f t="shared" si="14"/>
        <v>47079-01_057</v>
      </c>
      <c r="D948" s="51">
        <v>2.5834000000000001</v>
      </c>
      <c r="E948" s="51">
        <v>2.63</v>
      </c>
      <c r="F948" s="52">
        <v>1.8039999999999998</v>
      </c>
    </row>
    <row r="949" spans="1:6" x14ac:dyDescent="0.35">
      <c r="A949" s="49" t="s">
        <v>944</v>
      </c>
      <c r="B949" s="49" t="s">
        <v>1274</v>
      </c>
      <c r="C949" s="49" t="str">
        <f t="shared" si="14"/>
        <v>47079-01_SD2</v>
      </c>
      <c r="D949" s="51">
        <v>2.6110000000000002</v>
      </c>
      <c r="E949" s="51">
        <v>2.6379999999999999</v>
      </c>
      <c r="F949" s="52">
        <v>1.04</v>
      </c>
    </row>
    <row r="950" spans="1:6" x14ac:dyDescent="0.35">
      <c r="A950" s="49" t="s">
        <v>922</v>
      </c>
      <c r="B950" s="49" t="s">
        <v>1270</v>
      </c>
      <c r="C950" s="49" t="str">
        <f t="shared" si="14"/>
        <v>47044-01_008</v>
      </c>
      <c r="D950" s="51">
        <v>2.6165000000000003</v>
      </c>
      <c r="E950" s="51">
        <v>2.6587499999999999</v>
      </c>
      <c r="F950" s="52">
        <v>1.6074999999999999</v>
      </c>
    </row>
    <row r="951" spans="1:6" x14ac:dyDescent="0.35">
      <c r="A951" s="49" t="s">
        <v>922</v>
      </c>
      <c r="B951" s="49" t="s">
        <v>1271</v>
      </c>
      <c r="C951" s="49" t="str">
        <f t="shared" si="14"/>
        <v>47044-01_009</v>
      </c>
      <c r="D951" s="51">
        <v>2.5746666666666669</v>
      </c>
      <c r="E951" s="51">
        <v>2.6033333333333335</v>
      </c>
      <c r="F951" s="52">
        <v>1.1033333333333333</v>
      </c>
    </row>
    <row r="952" spans="1:6" x14ac:dyDescent="0.35">
      <c r="A952" s="49" t="s">
        <v>922</v>
      </c>
      <c r="B952" s="49" t="s">
        <v>1272</v>
      </c>
      <c r="C952" s="49" t="str">
        <f t="shared" si="14"/>
        <v>47044-01_057</v>
      </c>
      <c r="D952" s="51">
        <v>2.6265000000000001</v>
      </c>
      <c r="E952" s="51">
        <v>2.6639999999999997</v>
      </c>
      <c r="F952" s="52">
        <v>1.4350000000000001</v>
      </c>
    </row>
    <row r="953" spans="1:6" x14ac:dyDescent="0.35">
      <c r="A953" s="49" t="s">
        <v>922</v>
      </c>
      <c r="B953" s="49" t="s">
        <v>1274</v>
      </c>
      <c r="C953" s="49" t="str">
        <f t="shared" si="14"/>
        <v>47044-01_SD2</v>
      </c>
      <c r="D953" s="51">
        <v>2.637</v>
      </c>
      <c r="E953" s="51">
        <v>2.6626666666666665</v>
      </c>
      <c r="F953" s="52">
        <v>0.96333333333333337</v>
      </c>
    </row>
    <row r="954" spans="1:6" x14ac:dyDescent="0.35">
      <c r="A954" s="49" t="s">
        <v>863</v>
      </c>
      <c r="B954" s="49" t="s">
        <v>1279</v>
      </c>
      <c r="C954" s="49" t="str">
        <f t="shared" si="14"/>
        <v>46032-01_004</v>
      </c>
      <c r="D954" s="51">
        <v>2.5309999999999997</v>
      </c>
      <c r="E954" s="51">
        <v>2.5834999999999999</v>
      </c>
      <c r="F954" s="52">
        <v>2.0750000000000002</v>
      </c>
    </row>
    <row r="955" spans="1:6" x14ac:dyDescent="0.35">
      <c r="A955" s="49" t="s">
        <v>863</v>
      </c>
      <c r="B955" s="49" t="s">
        <v>1270</v>
      </c>
      <c r="C955" s="49" t="str">
        <f t="shared" si="14"/>
        <v>46032-01_008</v>
      </c>
      <c r="D955" s="51">
        <v>2.5720000000000001</v>
      </c>
      <c r="E955" s="51">
        <v>2.6364999999999998</v>
      </c>
      <c r="F955" s="52">
        <v>2.5049999999999999</v>
      </c>
    </row>
    <row r="956" spans="1:6" x14ac:dyDescent="0.35">
      <c r="A956" s="49" t="s">
        <v>863</v>
      </c>
      <c r="B956" s="49" t="s">
        <v>1272</v>
      </c>
      <c r="C956" s="49" t="str">
        <f t="shared" si="14"/>
        <v>46032-01_057</v>
      </c>
      <c r="D956" s="51">
        <v>2.5922499999999999</v>
      </c>
      <c r="E956" s="51">
        <v>2.6407500000000002</v>
      </c>
      <c r="F956" s="52">
        <v>1.8675000000000002</v>
      </c>
    </row>
    <row r="957" spans="1:6" x14ac:dyDescent="0.35">
      <c r="A957" s="49" t="s">
        <v>863</v>
      </c>
      <c r="B957" s="49" t="s">
        <v>1293</v>
      </c>
      <c r="C957" s="49" t="str">
        <f t="shared" si="14"/>
        <v>46032-01_411</v>
      </c>
      <c r="D957" s="51">
        <v>2.5329999999999999</v>
      </c>
      <c r="E957" s="51">
        <v>2.6080000000000001</v>
      </c>
      <c r="F957" s="52">
        <v>2.96</v>
      </c>
    </row>
    <row r="958" spans="1:6" x14ac:dyDescent="0.35">
      <c r="A958" s="49" t="s">
        <v>472</v>
      </c>
      <c r="B958" s="49" t="s">
        <v>1274</v>
      </c>
      <c r="C958" s="49" t="str">
        <f t="shared" si="14"/>
        <v>41017-01_SD2</v>
      </c>
      <c r="D958" s="51">
        <v>2.6150000000000002</v>
      </c>
      <c r="E958" s="51">
        <v>2.6353333333333335</v>
      </c>
      <c r="F958" s="52">
        <v>0.77999999999999992</v>
      </c>
    </row>
    <row r="959" spans="1:6" x14ac:dyDescent="0.35">
      <c r="A959" s="49" t="s">
        <v>906</v>
      </c>
      <c r="B959" s="49" t="s">
        <v>1270</v>
      </c>
      <c r="C959" s="49" t="str">
        <f t="shared" si="14"/>
        <v>47033-01_008</v>
      </c>
      <c r="D959" s="51">
        <v>2.5940000000000003</v>
      </c>
      <c r="E959" s="51">
        <v>2.6393999999999997</v>
      </c>
      <c r="F959" s="52">
        <v>1.752</v>
      </c>
    </row>
    <row r="960" spans="1:6" x14ac:dyDescent="0.35">
      <c r="A960" s="49" t="s">
        <v>906</v>
      </c>
      <c r="B960" s="49" t="s">
        <v>1272</v>
      </c>
      <c r="C960" s="49" t="str">
        <f t="shared" si="14"/>
        <v>47033-01_057</v>
      </c>
      <c r="D960" s="51">
        <v>2.6198000000000001</v>
      </c>
      <c r="E960" s="51">
        <v>2.6593999999999998</v>
      </c>
      <c r="F960" s="52">
        <v>1.508</v>
      </c>
    </row>
    <row r="961" spans="1:6" x14ac:dyDescent="0.35">
      <c r="A961" s="49" t="s">
        <v>906</v>
      </c>
      <c r="B961" s="49" t="s">
        <v>1274</v>
      </c>
      <c r="C961" s="49" t="str">
        <f t="shared" si="14"/>
        <v>47033-01_SD2</v>
      </c>
      <c r="D961" s="51">
        <v>2.6302499999999998</v>
      </c>
      <c r="E961" s="51">
        <v>2.6607500000000002</v>
      </c>
      <c r="F961" s="52">
        <v>1.1499999999999999</v>
      </c>
    </row>
    <row r="962" spans="1:6" x14ac:dyDescent="0.35">
      <c r="A962" s="49" t="s">
        <v>814</v>
      </c>
      <c r="B962" s="49" t="s">
        <v>1270</v>
      </c>
      <c r="C962" s="49" t="str">
        <f t="shared" si="14"/>
        <v>45035-01_008</v>
      </c>
      <c r="D962" s="51">
        <v>2.5525000000000002</v>
      </c>
      <c r="E962" s="51">
        <v>2.6157500000000002</v>
      </c>
      <c r="F962" s="52">
        <v>2.4775</v>
      </c>
    </row>
    <row r="963" spans="1:6" x14ac:dyDescent="0.35">
      <c r="A963" s="49" t="s">
        <v>814</v>
      </c>
      <c r="B963" s="49" t="s">
        <v>1272</v>
      </c>
      <c r="C963" s="49" t="str">
        <f t="shared" ref="C963:C984" si="15">A963&amp;"_"&amp;B963</f>
        <v>45035-01_057</v>
      </c>
      <c r="D963" s="51">
        <v>2.5950000000000002</v>
      </c>
      <c r="E963" s="51">
        <v>2.6429999999999998</v>
      </c>
      <c r="F963" s="52">
        <v>1.85</v>
      </c>
    </row>
    <row r="964" spans="1:6" x14ac:dyDescent="0.35">
      <c r="A964" s="49" t="s">
        <v>814</v>
      </c>
      <c r="B964" s="49" t="s">
        <v>1274</v>
      </c>
      <c r="C964" s="49" t="str">
        <f t="shared" si="15"/>
        <v>45035-01_SD2</v>
      </c>
      <c r="D964" s="51">
        <v>2.5922499999999999</v>
      </c>
      <c r="E964" s="51">
        <v>2.6374999999999997</v>
      </c>
      <c r="F964" s="52">
        <v>1.7524999999999999</v>
      </c>
    </row>
    <row r="965" spans="1:6" x14ac:dyDescent="0.35">
      <c r="A965" s="49" t="s">
        <v>749</v>
      </c>
      <c r="B965" s="49" t="s">
        <v>1270</v>
      </c>
      <c r="C965" s="49" t="str">
        <f t="shared" si="15"/>
        <v>44032-01_008</v>
      </c>
      <c r="D965" s="51">
        <v>2.5262499999999997</v>
      </c>
      <c r="E965" s="51">
        <v>2.5717499999999998</v>
      </c>
      <c r="F965" s="52">
        <v>1.8125</v>
      </c>
    </row>
    <row r="966" spans="1:6" x14ac:dyDescent="0.35">
      <c r="A966" s="49" t="s">
        <v>749</v>
      </c>
      <c r="B966" s="49" t="s">
        <v>1272</v>
      </c>
      <c r="C966" s="49" t="str">
        <f t="shared" si="15"/>
        <v>44032-01_057</v>
      </c>
      <c r="D966" s="51">
        <v>2.5004999999999997</v>
      </c>
      <c r="E966" s="51">
        <v>2.5465</v>
      </c>
      <c r="F966" s="52">
        <v>1.8325</v>
      </c>
    </row>
    <row r="967" spans="1:6" x14ac:dyDescent="0.35">
      <c r="A967" s="49" t="s">
        <v>749</v>
      </c>
      <c r="B967" s="49" t="s">
        <v>1274</v>
      </c>
      <c r="C967" s="49" t="str">
        <f t="shared" si="15"/>
        <v>44032-01_SD2</v>
      </c>
      <c r="D967" s="51">
        <v>2.5931999999999999</v>
      </c>
      <c r="E967" s="51">
        <v>2.6192000000000002</v>
      </c>
      <c r="F967" s="52">
        <v>0.99399999999999999</v>
      </c>
    </row>
    <row r="968" spans="1:6" x14ac:dyDescent="0.35">
      <c r="A968" s="49" t="s">
        <v>529</v>
      </c>
      <c r="B968" s="49" t="s">
        <v>1270</v>
      </c>
      <c r="C968" s="49" t="str">
        <f t="shared" si="15"/>
        <v>41066-01_008</v>
      </c>
      <c r="D968" s="51">
        <v>2.552</v>
      </c>
      <c r="E968" s="51">
        <v>2.6282000000000001</v>
      </c>
      <c r="F968" s="52">
        <v>2.9820000000000002</v>
      </c>
    </row>
    <row r="969" spans="1:6" x14ac:dyDescent="0.35">
      <c r="A969" s="49" t="s">
        <v>529</v>
      </c>
      <c r="B969" s="49" t="s">
        <v>1276</v>
      </c>
      <c r="C969" s="49" t="str">
        <f t="shared" si="15"/>
        <v>41066-01_010</v>
      </c>
      <c r="D969" s="51">
        <v>2.6969999999999996</v>
      </c>
      <c r="E969" s="51">
        <v>2.7330000000000001</v>
      </c>
      <c r="F969" s="52">
        <v>1.3233333333333333</v>
      </c>
    </row>
    <row r="970" spans="1:6" x14ac:dyDescent="0.35">
      <c r="A970" s="49" t="s">
        <v>529</v>
      </c>
      <c r="B970" s="49" t="s">
        <v>1272</v>
      </c>
      <c r="C970" s="49" t="str">
        <f t="shared" si="15"/>
        <v>41066-01_057</v>
      </c>
      <c r="D970" s="51">
        <v>2.5494285714285714</v>
      </c>
      <c r="E970" s="51">
        <v>2.6195714285714287</v>
      </c>
      <c r="F970" s="52">
        <v>2.7642857142857147</v>
      </c>
    </row>
    <row r="971" spans="1:6" x14ac:dyDescent="0.35">
      <c r="A971" s="49" t="s">
        <v>908</v>
      </c>
      <c r="B971" s="49" t="s">
        <v>1270</v>
      </c>
      <c r="C971" s="49" t="str">
        <f t="shared" si="15"/>
        <v>47034-01_008</v>
      </c>
      <c r="D971" s="51">
        <v>2.6089999999999995</v>
      </c>
      <c r="E971" s="51">
        <v>2.6608000000000001</v>
      </c>
      <c r="F971" s="52">
        <v>1.9759999999999998</v>
      </c>
    </row>
    <row r="972" spans="1:6" x14ac:dyDescent="0.35">
      <c r="A972" s="49" t="s">
        <v>908</v>
      </c>
      <c r="B972" s="49" t="s">
        <v>1281</v>
      </c>
      <c r="C972" s="49" t="str">
        <f t="shared" si="15"/>
        <v>47034-01_009M</v>
      </c>
      <c r="D972" s="51">
        <v>2.5710000000000002</v>
      </c>
      <c r="E972" s="51">
        <v>2.6359999999999997</v>
      </c>
      <c r="F972" s="52">
        <v>2.5233333333333334</v>
      </c>
    </row>
    <row r="973" spans="1:6" x14ac:dyDescent="0.35">
      <c r="A973" s="49" t="s">
        <v>908</v>
      </c>
      <c r="B973" s="49" t="s">
        <v>1272</v>
      </c>
      <c r="C973" s="49" t="str">
        <f t="shared" si="15"/>
        <v>47034-01_057</v>
      </c>
      <c r="D973" s="51">
        <v>2.63</v>
      </c>
      <c r="E973" s="51">
        <v>2.670666666666667</v>
      </c>
      <c r="F973" s="52">
        <v>1.5466666666666666</v>
      </c>
    </row>
    <row r="974" spans="1:6" x14ac:dyDescent="0.35">
      <c r="A974" s="49" t="s">
        <v>908</v>
      </c>
      <c r="B974" s="49" t="s">
        <v>1274</v>
      </c>
      <c r="C974" s="49" t="str">
        <f t="shared" si="15"/>
        <v>47034-01_SD2</v>
      </c>
      <c r="D974" s="51">
        <v>2.6545000000000001</v>
      </c>
      <c r="E974" s="51">
        <v>2.6852499999999999</v>
      </c>
      <c r="F974" s="52">
        <v>1.1649999999999998</v>
      </c>
    </row>
    <row r="975" spans="1:6" x14ac:dyDescent="0.35">
      <c r="A975" s="49" t="s">
        <v>912</v>
      </c>
      <c r="B975" s="49" t="s">
        <v>1270</v>
      </c>
      <c r="C975" s="49" t="str">
        <f t="shared" si="15"/>
        <v>47036-01_008</v>
      </c>
      <c r="D975" s="51">
        <v>2.6111999999999997</v>
      </c>
      <c r="E975" s="51">
        <v>2.665</v>
      </c>
      <c r="F975" s="52">
        <v>2.0579999999999998</v>
      </c>
    </row>
    <row r="976" spans="1:6" x14ac:dyDescent="0.35">
      <c r="A976" s="49" t="s">
        <v>912</v>
      </c>
      <c r="B976" s="49" t="s">
        <v>1271</v>
      </c>
      <c r="C976" s="49" t="str">
        <f t="shared" si="15"/>
        <v>47036-01_009</v>
      </c>
      <c r="D976" s="51">
        <v>2.5673333333333335</v>
      </c>
      <c r="E976" s="51">
        <v>2.6383333333333332</v>
      </c>
      <c r="F976" s="52">
        <v>2.7566666666666664</v>
      </c>
    </row>
    <row r="977" spans="1:6" x14ac:dyDescent="0.35">
      <c r="A977" s="49" t="s">
        <v>912</v>
      </c>
      <c r="B977" s="49" t="s">
        <v>1272</v>
      </c>
      <c r="C977" s="49" t="str">
        <f t="shared" si="15"/>
        <v>47036-01_057</v>
      </c>
      <c r="D977" s="51">
        <v>2.6272500000000001</v>
      </c>
      <c r="E977" s="51">
        <v>2.6735000000000002</v>
      </c>
      <c r="F977" s="52">
        <v>1.7575000000000001</v>
      </c>
    </row>
    <row r="978" spans="1:6" x14ac:dyDescent="0.35">
      <c r="A978" s="49" t="s">
        <v>912</v>
      </c>
      <c r="B978" s="49" t="s">
        <v>1274</v>
      </c>
      <c r="C978" s="49" t="str">
        <f t="shared" si="15"/>
        <v>47036-01_SD2</v>
      </c>
      <c r="D978" s="51">
        <v>2.6539999999999999</v>
      </c>
      <c r="E978" s="51">
        <v>2.6906666666666665</v>
      </c>
      <c r="F978" s="52">
        <v>1.3866666666666667</v>
      </c>
    </row>
    <row r="979" spans="1:6" x14ac:dyDescent="0.35">
      <c r="A979" s="49" t="s">
        <v>912</v>
      </c>
      <c r="B979" s="49" t="s">
        <v>1298</v>
      </c>
      <c r="C979" s="49" t="str">
        <f t="shared" si="15"/>
        <v>47036-01_SD23</v>
      </c>
      <c r="D979" s="51">
        <v>2.6080000000000001</v>
      </c>
      <c r="E979" s="51">
        <v>2.6549999999999998</v>
      </c>
      <c r="F979" s="52">
        <v>1.8</v>
      </c>
    </row>
    <row r="980" spans="1:6" x14ac:dyDescent="0.35">
      <c r="A980" s="49" t="s">
        <v>1134</v>
      </c>
      <c r="B980" s="49" t="s">
        <v>1274</v>
      </c>
      <c r="C980" s="49" t="str">
        <f t="shared" si="15"/>
        <v>50039-01_SD2</v>
      </c>
      <c r="D980" s="51">
        <v>2.609</v>
      </c>
      <c r="E980" s="51">
        <v>2.653</v>
      </c>
      <c r="F980" s="52">
        <v>1.6775000000000002</v>
      </c>
    </row>
    <row r="981" spans="1:6" x14ac:dyDescent="0.35">
      <c r="A981" s="49" t="s">
        <v>1134</v>
      </c>
      <c r="B981" s="49" t="s">
        <v>1273</v>
      </c>
      <c r="C981" s="49" t="str">
        <f t="shared" si="15"/>
        <v>50039-01_SD5</v>
      </c>
      <c r="D981" s="51">
        <v>2.605</v>
      </c>
      <c r="E981" s="51">
        <v>2.653</v>
      </c>
      <c r="F981" s="52">
        <v>1.86</v>
      </c>
    </row>
    <row r="982" spans="1:6" x14ac:dyDescent="0.35">
      <c r="A982" s="49" t="s">
        <v>971</v>
      </c>
      <c r="B982" s="49" t="s">
        <v>1290</v>
      </c>
      <c r="C982" s="49" t="str">
        <f t="shared" si="15"/>
        <v>47095-01_SD5M</v>
      </c>
      <c r="D982" s="51">
        <v>2.5970000000000004</v>
      </c>
      <c r="E982" s="51">
        <v>2.6165000000000003</v>
      </c>
      <c r="F982" s="52">
        <v>0.76500000000000001</v>
      </c>
    </row>
    <row r="983" spans="1:6" x14ac:dyDescent="0.35">
      <c r="A983" s="49" t="s">
        <v>549</v>
      </c>
      <c r="B983" s="49" t="s">
        <v>1274</v>
      </c>
      <c r="C983" s="49" t="str">
        <f t="shared" si="15"/>
        <v>42001-01_SD2</v>
      </c>
      <c r="D983" s="51">
        <v>2.58175</v>
      </c>
      <c r="E983" s="51">
        <v>2.6259999999999999</v>
      </c>
      <c r="F983" s="52">
        <v>1.69</v>
      </c>
    </row>
    <row r="984" spans="1:6" x14ac:dyDescent="0.35">
      <c r="A984" s="380" t="s">
        <v>2082</v>
      </c>
      <c r="B984" s="384" t="s">
        <v>1272</v>
      </c>
      <c r="C984" s="381" t="str">
        <f t="shared" si="15"/>
        <v>49971-01_057</v>
      </c>
      <c r="D984" s="382">
        <v>2.6509999999999998</v>
      </c>
      <c r="E984" s="382">
        <v>2.758</v>
      </c>
      <c r="F984" s="383">
        <v>1.64</v>
      </c>
    </row>
    <row r="985" spans="1:6" x14ac:dyDescent="0.35">
      <c r="A985" s="380" t="s">
        <v>2082</v>
      </c>
      <c r="B985" s="381" t="s">
        <v>1270</v>
      </c>
      <c r="C985" s="381" t="str">
        <f t="shared" ref="C985:C988" si="16">A985&amp;"_"&amp;B985</f>
        <v>49971-01_008</v>
      </c>
      <c r="D985" s="382">
        <v>2.5329999999999999</v>
      </c>
      <c r="E985" s="382">
        <v>2.7080000000000002</v>
      </c>
      <c r="F985" s="383">
        <v>1.3566666666666667</v>
      </c>
    </row>
    <row r="986" spans="1:6" x14ac:dyDescent="0.35">
      <c r="A986" s="380" t="s">
        <v>2082</v>
      </c>
      <c r="B986" s="381" t="s">
        <v>1273</v>
      </c>
      <c r="C986" s="381" t="str">
        <f t="shared" si="16"/>
        <v>49971-01_SD5</v>
      </c>
      <c r="D986" s="382">
        <v>2.7679999999999998</v>
      </c>
      <c r="E986" s="382">
        <v>2.7696000000000001</v>
      </c>
      <c r="F986" s="383">
        <v>1.03</v>
      </c>
    </row>
    <row r="987" spans="1:6" x14ac:dyDescent="0.35">
      <c r="A987" s="380" t="s">
        <v>2084</v>
      </c>
      <c r="B987" s="381" t="s">
        <v>1270</v>
      </c>
      <c r="C987" s="381" t="str">
        <f t="shared" si="16"/>
        <v>49985-01_008</v>
      </c>
      <c r="D987" s="382">
        <v>2.6240000000000001</v>
      </c>
      <c r="E987" s="382">
        <v>2.7639999999999998</v>
      </c>
      <c r="F987" s="383">
        <v>2.1599999999999997</v>
      </c>
    </row>
    <row r="988" spans="1:6" x14ac:dyDescent="0.35">
      <c r="A988" s="380" t="s">
        <v>2084</v>
      </c>
      <c r="B988" s="381" t="s">
        <v>1274</v>
      </c>
      <c r="C988" s="381" t="str">
        <f t="shared" si="16"/>
        <v>49985-01_SD2</v>
      </c>
      <c r="D988" s="382">
        <v>2.6480000000000001</v>
      </c>
      <c r="E988" s="382">
        <v>2.71</v>
      </c>
      <c r="F988" s="383">
        <v>0.75</v>
      </c>
    </row>
  </sheetData>
  <autoFilter ref="A1:F983" xr:uid="{D9723E7A-16B4-4E96-96C9-189DEE893D63}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4">
    <tabColor theme="7" tint="0.59999389629810485"/>
  </sheetPr>
  <dimension ref="A1:C16"/>
  <sheetViews>
    <sheetView workbookViewId="0"/>
  </sheetViews>
  <sheetFormatPr defaultColWidth="8.90625" defaultRowHeight="14.5" x14ac:dyDescent="0.35"/>
  <cols>
    <col min="1" max="1" width="21.54296875" style="59" customWidth="1"/>
    <col min="2" max="2" width="19.453125" style="59" customWidth="1"/>
    <col min="3" max="3" width="14.54296875" style="59" customWidth="1"/>
    <col min="4" max="16384" width="8.90625" style="59"/>
  </cols>
  <sheetData>
    <row r="1" spans="1:3" x14ac:dyDescent="0.35">
      <c r="A1" s="58" t="s">
        <v>184</v>
      </c>
      <c r="B1" s="58" t="s">
        <v>177</v>
      </c>
      <c r="C1" s="58" t="s">
        <v>339</v>
      </c>
    </row>
    <row r="2" spans="1:3" x14ac:dyDescent="0.35">
      <c r="A2" s="60" t="s">
        <v>1903</v>
      </c>
      <c r="B2" s="60" t="s">
        <v>1904</v>
      </c>
      <c r="C2" s="60" t="s">
        <v>71</v>
      </c>
    </row>
    <row r="3" spans="1:3" x14ac:dyDescent="0.35">
      <c r="A3" s="60" t="s">
        <v>156</v>
      </c>
      <c r="B3" s="60">
        <v>1015828</v>
      </c>
      <c r="C3" s="60" t="s">
        <v>71</v>
      </c>
    </row>
    <row r="4" spans="1:3" x14ac:dyDescent="0.35">
      <c r="A4" s="60" t="s">
        <v>157</v>
      </c>
      <c r="B4" s="60">
        <v>1016422</v>
      </c>
      <c r="C4" s="60" t="s">
        <v>71</v>
      </c>
    </row>
    <row r="5" spans="1:3" x14ac:dyDescent="0.35">
      <c r="A5" s="60" t="s">
        <v>158</v>
      </c>
      <c r="B5" s="60">
        <v>1016428</v>
      </c>
      <c r="C5" s="60" t="s">
        <v>71</v>
      </c>
    </row>
    <row r="6" spans="1:3" x14ac:dyDescent="0.35">
      <c r="A6" s="60" t="s">
        <v>159</v>
      </c>
      <c r="B6" s="60" t="s">
        <v>178</v>
      </c>
      <c r="C6" s="60" t="s">
        <v>71</v>
      </c>
    </row>
    <row r="7" spans="1:3" x14ac:dyDescent="0.35">
      <c r="A7" s="60" t="s">
        <v>160</v>
      </c>
      <c r="B7" s="60" t="s">
        <v>1811</v>
      </c>
      <c r="C7" s="60" t="s">
        <v>309</v>
      </c>
    </row>
    <row r="8" spans="1:3" x14ac:dyDescent="0.35">
      <c r="A8" s="60" t="s">
        <v>155</v>
      </c>
      <c r="B8" s="60" t="s">
        <v>171</v>
      </c>
      <c r="C8" s="60" t="s">
        <v>309</v>
      </c>
    </row>
    <row r="9" spans="1:3" x14ac:dyDescent="0.35">
      <c r="A9" s="60" t="s">
        <v>161</v>
      </c>
      <c r="B9" s="60" t="s">
        <v>168</v>
      </c>
      <c r="C9" s="60" t="s">
        <v>309</v>
      </c>
    </row>
    <row r="10" spans="1:3" x14ac:dyDescent="0.35">
      <c r="A10" s="60" t="s">
        <v>162</v>
      </c>
      <c r="B10" s="60" t="s">
        <v>172</v>
      </c>
      <c r="C10" s="60" t="s">
        <v>309</v>
      </c>
    </row>
    <row r="11" spans="1:3" x14ac:dyDescent="0.35">
      <c r="A11" s="60" t="s">
        <v>163</v>
      </c>
      <c r="B11" s="60" t="s">
        <v>174</v>
      </c>
      <c r="C11" s="60" t="s">
        <v>309</v>
      </c>
    </row>
    <row r="12" spans="1:3" x14ac:dyDescent="0.35">
      <c r="A12" s="60" t="s">
        <v>164</v>
      </c>
      <c r="B12" s="60" t="s">
        <v>169</v>
      </c>
      <c r="C12" s="60" t="s">
        <v>309</v>
      </c>
    </row>
    <row r="13" spans="1:3" x14ac:dyDescent="0.35">
      <c r="A13" s="60" t="s">
        <v>165</v>
      </c>
      <c r="B13" s="60" t="s">
        <v>173</v>
      </c>
      <c r="C13" s="60" t="s">
        <v>309</v>
      </c>
    </row>
    <row r="14" spans="1:3" x14ac:dyDescent="0.35">
      <c r="A14" s="60" t="s">
        <v>166</v>
      </c>
      <c r="B14" s="60" t="s">
        <v>175</v>
      </c>
      <c r="C14" s="60" t="s">
        <v>309</v>
      </c>
    </row>
    <row r="15" spans="1:3" x14ac:dyDescent="0.35">
      <c r="A15" s="60" t="s">
        <v>167</v>
      </c>
      <c r="B15" s="60" t="s">
        <v>170</v>
      </c>
      <c r="C15" s="60" t="s">
        <v>309</v>
      </c>
    </row>
    <row r="16" spans="1:3" x14ac:dyDescent="0.35">
      <c r="A16" s="60" t="s">
        <v>176</v>
      </c>
      <c r="B16" s="60" t="s">
        <v>310</v>
      </c>
      <c r="C16" s="60" t="s">
        <v>309</v>
      </c>
    </row>
  </sheetData>
  <pageMargins left="0.7" right="0.7" top="0.75" bottom="0.75" header="0.3" footer="0.3"/>
  <ignoredErrors>
    <ignoredError sqref="B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AQ95"/>
  <sheetViews>
    <sheetView zoomScale="80" zoomScaleNormal="80" zoomScaleSheetLayoutView="90" workbookViewId="0"/>
  </sheetViews>
  <sheetFormatPr defaultColWidth="9.08984375" defaultRowHeight="14" customHeight="1" x14ac:dyDescent="0.25"/>
  <cols>
    <col min="1" max="41" width="2.81640625" style="102" customWidth="1"/>
    <col min="42" max="16384" width="9.08984375" style="102"/>
  </cols>
  <sheetData>
    <row r="1" spans="1:41" ht="14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ht="14" customHeight="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3"/>
      <c r="AN2" s="104"/>
      <c r="AO2" s="101"/>
    </row>
    <row r="3" spans="1:41" ht="14" customHeight="1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5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6"/>
      <c r="AN3" s="107"/>
      <c r="AO3" s="101"/>
    </row>
    <row r="4" spans="1:41" ht="14" customHeigh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ht="14" customHeight="1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</row>
    <row r="6" spans="1:41" ht="14" customHeight="1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</row>
    <row r="7" spans="1:41" ht="14" customHeight="1" x14ac:dyDescent="0.35">
      <c r="A7" s="101"/>
      <c r="B7" s="101"/>
      <c r="C7" s="101"/>
      <c r="D7" s="101"/>
      <c r="E7" s="101"/>
      <c r="F7" s="101"/>
      <c r="G7" s="101"/>
      <c r="H7" s="422" t="s">
        <v>102</v>
      </c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2"/>
      <c r="V7" s="422"/>
      <c r="W7" s="422"/>
      <c r="X7" s="422"/>
      <c r="Y7" s="422"/>
      <c r="Z7" s="422"/>
      <c r="AA7" s="422"/>
      <c r="AB7" s="422"/>
      <c r="AC7" s="422"/>
      <c r="AD7" s="422"/>
      <c r="AE7" s="422"/>
      <c r="AF7" s="422"/>
      <c r="AG7" s="101"/>
      <c r="AH7" s="101"/>
      <c r="AI7" s="101"/>
      <c r="AJ7" s="101"/>
      <c r="AK7" s="101"/>
      <c r="AL7" s="101"/>
      <c r="AM7" s="101"/>
      <c r="AN7" s="101"/>
      <c r="AO7" s="101"/>
    </row>
    <row r="8" spans="1:41" ht="14" customHeight="1" x14ac:dyDescent="0.25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</row>
    <row r="9" spans="1:41" ht="14" customHeight="1" x14ac:dyDescent="0.25">
      <c r="A9" s="101"/>
      <c r="B9" s="101"/>
      <c r="C9" s="101"/>
      <c r="D9" s="101"/>
      <c r="E9" s="101"/>
      <c r="F9" s="101"/>
      <c r="G9" s="101"/>
      <c r="H9" s="101"/>
      <c r="I9" s="108"/>
      <c r="J9" s="109" t="s">
        <v>111</v>
      </c>
      <c r="K9" s="423" t="s">
        <v>73</v>
      </c>
      <c r="L9" s="424"/>
      <c r="M9" s="424"/>
      <c r="N9" s="424"/>
      <c r="O9" s="424"/>
      <c r="P9" s="424"/>
      <c r="Q9" s="424"/>
      <c r="R9" s="424"/>
      <c r="S9" s="424"/>
      <c r="T9" s="424"/>
      <c r="U9" s="424"/>
      <c r="V9" s="424"/>
      <c r="W9" s="424"/>
      <c r="X9" s="424"/>
      <c r="Y9" s="424"/>
      <c r="Z9" s="424"/>
      <c r="AA9" s="424"/>
      <c r="AB9" s="424"/>
      <c r="AC9" s="424"/>
      <c r="AD9" s="424"/>
      <c r="AE9" s="425"/>
      <c r="AF9" s="101"/>
      <c r="AG9" s="101"/>
      <c r="AH9" s="101"/>
      <c r="AI9" s="101"/>
      <c r="AJ9" s="101"/>
      <c r="AK9" s="101"/>
      <c r="AL9" s="101"/>
      <c r="AM9" s="101"/>
      <c r="AN9" s="101"/>
      <c r="AO9" s="101"/>
    </row>
    <row r="10" spans="1:41" ht="14" customHeight="1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408" t="s">
        <v>112</v>
      </c>
      <c r="L10" s="409"/>
      <c r="M10" s="409"/>
      <c r="N10" s="409"/>
      <c r="O10" s="409"/>
      <c r="P10" s="409"/>
      <c r="Q10" s="409"/>
      <c r="R10" s="409"/>
      <c r="S10" s="409"/>
      <c r="T10" s="409"/>
      <c r="U10" s="409"/>
      <c r="V10" s="409"/>
      <c r="W10" s="409"/>
      <c r="X10" s="409"/>
      <c r="Y10" s="409"/>
      <c r="Z10" s="409"/>
      <c r="AA10" s="409"/>
      <c r="AB10" s="409"/>
      <c r="AC10" s="409"/>
      <c r="AD10" s="409"/>
      <c r="AE10" s="410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</row>
    <row r="11" spans="1:41" ht="14" customHeight="1" x14ac:dyDescent="0.25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408" t="s">
        <v>98</v>
      </c>
      <c r="L11" s="409"/>
      <c r="M11" s="409"/>
      <c r="N11" s="409"/>
      <c r="O11" s="409"/>
      <c r="P11" s="409"/>
      <c r="Q11" s="409"/>
      <c r="R11" s="409"/>
      <c r="S11" s="409"/>
      <c r="T11" s="409"/>
      <c r="U11" s="409"/>
      <c r="V11" s="409"/>
      <c r="W11" s="409"/>
      <c r="X11" s="409"/>
      <c r="Y11" s="409"/>
      <c r="Z11" s="409"/>
      <c r="AA11" s="409"/>
      <c r="AB11" s="409"/>
      <c r="AC11" s="409"/>
      <c r="AD11" s="409"/>
      <c r="AE11" s="410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</row>
    <row r="12" spans="1:41" ht="14" customHeight="1" x14ac:dyDescent="0.2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408" t="s">
        <v>74</v>
      </c>
      <c r="L12" s="409"/>
      <c r="M12" s="409"/>
      <c r="N12" s="409"/>
      <c r="O12" s="409"/>
      <c r="P12" s="409"/>
      <c r="Q12" s="409"/>
      <c r="R12" s="409"/>
      <c r="S12" s="409"/>
      <c r="T12" s="409"/>
      <c r="U12" s="409"/>
      <c r="V12" s="409"/>
      <c r="W12" s="409"/>
      <c r="X12" s="409"/>
      <c r="Y12" s="409"/>
      <c r="Z12" s="409"/>
      <c r="AA12" s="409"/>
      <c r="AB12" s="409"/>
      <c r="AC12" s="409"/>
      <c r="AD12" s="409"/>
      <c r="AE12" s="410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</row>
    <row r="13" spans="1:41" ht="14" customHeight="1" x14ac:dyDescent="0.2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408" t="s">
        <v>60</v>
      </c>
      <c r="L13" s="409"/>
      <c r="M13" s="409"/>
      <c r="N13" s="409"/>
      <c r="O13" s="409"/>
      <c r="P13" s="409"/>
      <c r="Q13" s="409"/>
      <c r="R13" s="409"/>
      <c r="S13" s="409"/>
      <c r="T13" s="409"/>
      <c r="U13" s="409"/>
      <c r="V13" s="409"/>
      <c r="W13" s="409"/>
      <c r="X13" s="409"/>
      <c r="Y13" s="409"/>
      <c r="Z13" s="409"/>
      <c r="AA13" s="409"/>
      <c r="AB13" s="409"/>
      <c r="AC13" s="409"/>
      <c r="AD13" s="409"/>
      <c r="AE13" s="410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</row>
    <row r="14" spans="1:41" ht="14" customHeight="1" x14ac:dyDescent="0.25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411" t="s">
        <v>61</v>
      </c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412"/>
      <c r="W14" s="412"/>
      <c r="X14" s="412"/>
      <c r="Y14" s="412"/>
      <c r="Z14" s="412"/>
      <c r="AA14" s="412"/>
      <c r="AB14" s="412"/>
      <c r="AC14" s="412"/>
      <c r="AD14" s="412"/>
      <c r="AE14" s="413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</row>
    <row r="15" spans="1:41" ht="14" customHeight="1" x14ac:dyDescent="0.2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</row>
    <row r="16" spans="1:41" ht="14" customHeight="1" x14ac:dyDescent="0.2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10" t="s">
        <v>113</v>
      </c>
      <c r="L16" s="403" t="s">
        <v>0</v>
      </c>
      <c r="M16" s="403"/>
      <c r="N16" s="403"/>
      <c r="O16" s="403"/>
      <c r="P16" s="403"/>
      <c r="Q16" s="403"/>
      <c r="R16" s="403"/>
      <c r="S16" s="403"/>
      <c r="T16" s="403"/>
      <c r="U16" s="404" t="s">
        <v>2086</v>
      </c>
      <c r="V16" s="405"/>
      <c r="W16" s="405"/>
      <c r="X16" s="405"/>
      <c r="Y16" s="405"/>
      <c r="Z16" s="405"/>
      <c r="AA16" s="405"/>
      <c r="AB16" s="405"/>
      <c r="AC16" s="405"/>
      <c r="AD16" s="406"/>
      <c r="AE16" s="101"/>
      <c r="AF16" s="111"/>
      <c r="AG16" s="101"/>
      <c r="AH16" s="101"/>
      <c r="AI16" s="101"/>
      <c r="AJ16" s="101"/>
      <c r="AK16" s="101"/>
      <c r="AL16" s="101"/>
      <c r="AM16" s="101"/>
      <c r="AN16" s="101"/>
      <c r="AO16" s="101"/>
    </row>
    <row r="17" spans="1:42" ht="14" customHeight="1" x14ac:dyDescent="0.25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403" t="s">
        <v>1</v>
      </c>
      <c r="M17" s="403"/>
      <c r="N17" s="403"/>
      <c r="O17" s="403"/>
      <c r="P17" s="403"/>
      <c r="Q17" s="403"/>
      <c r="R17" s="403"/>
      <c r="S17" s="403"/>
      <c r="T17" s="403"/>
      <c r="U17" s="404" t="s">
        <v>2087</v>
      </c>
      <c r="V17" s="405"/>
      <c r="W17" s="405"/>
      <c r="X17" s="405"/>
      <c r="Y17" s="405"/>
      <c r="Z17" s="405"/>
      <c r="AA17" s="405"/>
      <c r="AB17" s="405"/>
      <c r="AC17" s="405"/>
      <c r="AD17" s="406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2" ht="14" customHeight="1" x14ac:dyDescent="0.2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403" t="s">
        <v>358</v>
      </c>
      <c r="M18" s="403"/>
      <c r="N18" s="403"/>
      <c r="O18" s="403"/>
      <c r="P18" s="403"/>
      <c r="Q18" s="403"/>
      <c r="R18" s="403"/>
      <c r="S18" s="403"/>
      <c r="T18" s="403"/>
      <c r="U18" s="414">
        <v>3</v>
      </c>
      <c r="V18" s="415"/>
      <c r="W18" s="415"/>
      <c r="X18" s="415"/>
      <c r="Y18" s="415"/>
      <c r="Z18" s="416"/>
      <c r="AA18" s="112"/>
      <c r="AB18" s="112"/>
      <c r="AC18" s="112"/>
      <c r="AD18" s="112"/>
      <c r="AE18" s="101"/>
      <c r="AF18" s="101"/>
      <c r="AG18" s="111"/>
      <c r="AH18" s="101"/>
      <c r="AI18" s="101"/>
      <c r="AJ18" s="101"/>
      <c r="AK18" s="101"/>
      <c r="AL18" s="101"/>
      <c r="AM18" s="101"/>
      <c r="AN18" s="101"/>
      <c r="AO18" s="101"/>
    </row>
    <row r="19" spans="1:42" ht="14" customHeight="1" x14ac:dyDescent="0.25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403" t="s">
        <v>352</v>
      </c>
      <c r="M19" s="403"/>
      <c r="N19" s="403"/>
      <c r="O19" s="403"/>
      <c r="P19" s="403"/>
      <c r="Q19" s="403"/>
      <c r="R19" s="403"/>
      <c r="S19" s="403"/>
      <c r="T19" s="403"/>
      <c r="U19" s="398">
        <v>35125</v>
      </c>
      <c r="V19" s="399"/>
      <c r="W19" s="399"/>
      <c r="X19" s="399"/>
      <c r="Y19" s="399"/>
      <c r="Z19" s="400"/>
      <c r="AA19" s="112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</row>
    <row r="20" spans="1:42" ht="14" customHeight="1" x14ac:dyDescent="0.25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403" t="s">
        <v>353</v>
      </c>
      <c r="M20" s="403"/>
      <c r="N20" s="403"/>
      <c r="O20" s="403"/>
      <c r="P20" s="403"/>
      <c r="Q20" s="403"/>
      <c r="R20" s="403"/>
      <c r="S20" s="403"/>
      <c r="T20" s="403"/>
      <c r="U20" s="398">
        <v>46054</v>
      </c>
      <c r="V20" s="399"/>
      <c r="W20" s="399"/>
      <c r="X20" s="399"/>
      <c r="Y20" s="399"/>
      <c r="Z20" s="400"/>
      <c r="AA20" s="112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2" ht="7" customHeight="1" x14ac:dyDescent="0.2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2" ht="14" customHeight="1" x14ac:dyDescent="0.25">
      <c r="A22" s="101"/>
      <c r="B22" s="101"/>
      <c r="C22" s="101"/>
      <c r="D22" s="446" t="s">
        <v>1905</v>
      </c>
      <c r="E22" s="447"/>
      <c r="F22" s="447"/>
      <c r="G22" s="447"/>
      <c r="H22" s="448"/>
      <c r="I22" s="417" t="s">
        <v>2088</v>
      </c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101"/>
      <c r="W22" s="403" t="s">
        <v>75</v>
      </c>
      <c r="X22" s="403"/>
      <c r="Y22" s="403"/>
      <c r="Z22" s="403"/>
      <c r="AA22" s="403"/>
      <c r="AB22" s="419" t="s">
        <v>2091</v>
      </c>
      <c r="AC22" s="420"/>
      <c r="AD22" s="420"/>
      <c r="AE22" s="420"/>
      <c r="AF22" s="420"/>
      <c r="AG22" s="421"/>
      <c r="AH22" s="101"/>
      <c r="AI22" s="101"/>
      <c r="AJ22" s="101"/>
      <c r="AK22" s="101"/>
      <c r="AL22" s="101"/>
      <c r="AM22" s="101"/>
      <c r="AN22" s="101"/>
      <c r="AO22" s="101"/>
    </row>
    <row r="23" spans="1:42" ht="14" customHeight="1" x14ac:dyDescent="0.25">
      <c r="A23" s="101"/>
      <c r="B23" s="101"/>
      <c r="C23" s="101"/>
      <c r="D23" s="446" t="s">
        <v>2</v>
      </c>
      <c r="E23" s="447"/>
      <c r="F23" s="447"/>
      <c r="G23" s="447"/>
      <c r="H23" s="448"/>
      <c r="I23" s="417" t="s">
        <v>2089</v>
      </c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101"/>
      <c r="W23" s="403" t="s">
        <v>76</v>
      </c>
      <c r="X23" s="403"/>
      <c r="Y23" s="403"/>
      <c r="Z23" s="403"/>
      <c r="AA23" s="403"/>
      <c r="AB23" s="419" t="s">
        <v>2092</v>
      </c>
      <c r="AC23" s="420"/>
      <c r="AD23" s="420"/>
      <c r="AE23" s="420"/>
      <c r="AF23" s="420"/>
      <c r="AG23" s="421"/>
      <c r="AH23" s="101"/>
      <c r="AI23" s="101"/>
      <c r="AJ23" s="101"/>
      <c r="AK23" s="101"/>
      <c r="AL23" s="101"/>
      <c r="AM23" s="101"/>
      <c r="AN23" s="101"/>
      <c r="AO23" s="101"/>
    </row>
    <row r="24" spans="1:42" ht="14" customHeight="1" x14ac:dyDescent="0.25">
      <c r="A24" s="101"/>
      <c r="B24" s="101"/>
      <c r="C24" s="101"/>
      <c r="D24" s="446" t="s">
        <v>3</v>
      </c>
      <c r="E24" s="447"/>
      <c r="F24" s="447"/>
      <c r="G24" s="447"/>
      <c r="H24" s="448"/>
      <c r="I24" s="449" t="s">
        <v>2090</v>
      </c>
      <c r="J24" s="450"/>
      <c r="K24" s="450"/>
      <c r="L24" s="450"/>
      <c r="M24" s="450"/>
      <c r="N24" s="450"/>
      <c r="O24" s="450"/>
      <c r="P24" s="451"/>
      <c r="Q24" s="101"/>
      <c r="R24" s="101"/>
      <c r="S24" s="101"/>
      <c r="T24" s="101"/>
      <c r="U24" s="101"/>
      <c r="V24" s="101"/>
      <c r="W24" s="403" t="s">
        <v>114</v>
      </c>
      <c r="X24" s="403"/>
      <c r="Y24" s="403"/>
      <c r="Z24" s="403"/>
      <c r="AA24" s="403"/>
      <c r="AB24" s="417" t="s">
        <v>2093</v>
      </c>
      <c r="AC24" s="417"/>
      <c r="AD24" s="417"/>
      <c r="AE24" s="417"/>
      <c r="AF24" s="417"/>
      <c r="AG24" s="417"/>
      <c r="AH24" s="417"/>
      <c r="AI24" s="417"/>
      <c r="AJ24" s="417"/>
      <c r="AK24" s="417"/>
      <c r="AL24" s="417"/>
      <c r="AM24" s="101"/>
      <c r="AN24" s="101"/>
      <c r="AO24" s="101"/>
    </row>
    <row r="25" spans="1:42" ht="14" customHeight="1" x14ac:dyDescent="0.25">
      <c r="A25" s="101"/>
      <c r="B25" s="101"/>
      <c r="C25" s="101"/>
      <c r="D25" s="446" t="s">
        <v>4</v>
      </c>
      <c r="E25" s="447"/>
      <c r="F25" s="447"/>
      <c r="G25" s="447"/>
      <c r="H25" s="448"/>
      <c r="I25" s="404" t="s">
        <v>2068</v>
      </c>
      <c r="J25" s="405"/>
      <c r="K25" s="405"/>
      <c r="L25" s="405"/>
      <c r="M25" s="405"/>
      <c r="N25" s="406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2" ht="14" customHeight="1" x14ac:dyDescent="0.25">
      <c r="A26" s="101"/>
      <c r="B26" s="101"/>
      <c r="C26" s="101"/>
      <c r="D26" s="446" t="s">
        <v>5</v>
      </c>
      <c r="E26" s="447"/>
      <c r="F26" s="447"/>
      <c r="G26" s="447"/>
      <c r="H26" s="448"/>
      <c r="I26" s="404">
        <v>43212</v>
      </c>
      <c r="J26" s="405"/>
      <c r="K26" s="405"/>
      <c r="L26" s="405"/>
      <c r="M26" s="405"/>
      <c r="N26" s="406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2" ht="14" customHeight="1" x14ac:dyDescent="0.25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2" ht="14" customHeight="1" x14ac:dyDescent="0.25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10" t="s">
        <v>115</v>
      </c>
      <c r="L28" s="403" t="s">
        <v>340</v>
      </c>
      <c r="M28" s="403"/>
      <c r="N28" s="403"/>
      <c r="O28" s="403"/>
      <c r="P28" s="403"/>
      <c r="Q28" s="403"/>
      <c r="R28" s="403"/>
      <c r="S28" s="403"/>
      <c r="T28" s="403"/>
      <c r="U28" s="443" t="s">
        <v>71</v>
      </c>
      <c r="V28" s="444"/>
      <c r="W28" s="444"/>
      <c r="X28" s="444"/>
      <c r="Y28" s="444"/>
      <c r="Z28" s="445"/>
      <c r="AA28" s="101"/>
      <c r="AB28" s="112"/>
      <c r="AC28" s="112"/>
      <c r="AD28" s="112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2" ht="14" customHeight="1" x14ac:dyDescent="0.25">
      <c r="A29" s="101"/>
      <c r="B29" s="101"/>
      <c r="C29" s="101"/>
      <c r="D29" s="101"/>
      <c r="E29" s="101"/>
      <c r="F29" s="101"/>
      <c r="G29" s="101"/>
      <c r="H29" s="108"/>
      <c r="I29" s="108"/>
      <c r="J29" s="108"/>
      <c r="K29" s="110"/>
      <c r="L29" s="403" t="s">
        <v>366</v>
      </c>
      <c r="M29" s="403"/>
      <c r="N29" s="403"/>
      <c r="O29" s="403"/>
      <c r="P29" s="403"/>
      <c r="Q29" s="403"/>
      <c r="R29" s="403"/>
      <c r="S29" s="403"/>
      <c r="T29" s="403"/>
      <c r="U29" s="404" t="s">
        <v>2094</v>
      </c>
      <c r="V29" s="405"/>
      <c r="W29" s="405"/>
      <c r="X29" s="405"/>
      <c r="Y29" s="405"/>
      <c r="Z29" s="406"/>
      <c r="AA29" s="101"/>
      <c r="AB29" s="112"/>
      <c r="AC29" s="112"/>
      <c r="AD29" s="112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2" t="s">
        <v>341</v>
      </c>
    </row>
    <row r="30" spans="1:42" ht="14" customHeight="1" x14ac:dyDescent="0.25">
      <c r="A30" s="101"/>
      <c r="B30" s="101"/>
      <c r="C30" s="101"/>
      <c r="D30" s="101"/>
      <c r="E30" s="101"/>
      <c r="F30" s="101"/>
      <c r="G30" s="101"/>
      <c r="H30" s="108"/>
      <c r="I30" s="108"/>
      <c r="J30" s="108"/>
      <c r="K30" s="109"/>
      <c r="L30" s="403" t="s">
        <v>367</v>
      </c>
      <c r="M30" s="403"/>
      <c r="N30" s="403"/>
      <c r="O30" s="403"/>
      <c r="P30" s="403"/>
      <c r="Q30" s="403"/>
      <c r="R30" s="403"/>
      <c r="S30" s="403"/>
      <c r="T30" s="403"/>
      <c r="U30" s="404" t="s">
        <v>2095</v>
      </c>
      <c r="V30" s="405"/>
      <c r="W30" s="405"/>
      <c r="X30" s="405"/>
      <c r="Y30" s="405"/>
      <c r="Z30" s="406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13"/>
      <c r="AM30" s="101"/>
      <c r="AN30" s="101"/>
      <c r="AO30" s="101"/>
      <c r="AP30" s="102" t="s">
        <v>368</v>
      </c>
    </row>
    <row r="31" spans="1:42" ht="14" customHeight="1" x14ac:dyDescent="0.25">
      <c r="A31" s="101"/>
      <c r="B31" s="101"/>
      <c r="C31" s="101"/>
      <c r="D31" s="101"/>
      <c r="E31" s="101"/>
      <c r="F31" s="101"/>
      <c r="G31" s="101"/>
      <c r="H31" s="101"/>
      <c r="I31" s="108"/>
      <c r="J31" s="101"/>
      <c r="K31" s="101"/>
      <c r="L31" s="403" t="s">
        <v>108</v>
      </c>
      <c r="M31" s="403"/>
      <c r="N31" s="403"/>
      <c r="O31" s="403"/>
      <c r="P31" s="403"/>
      <c r="Q31" s="403"/>
      <c r="R31" s="403"/>
      <c r="S31" s="403"/>
      <c r="T31" s="403"/>
      <c r="U31" s="443" t="s">
        <v>284</v>
      </c>
      <c r="V31" s="444"/>
      <c r="W31" s="444"/>
      <c r="X31" s="444"/>
      <c r="Y31" s="444"/>
      <c r="Z31" s="445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13"/>
      <c r="AM31" s="101"/>
      <c r="AN31" s="101"/>
      <c r="AO31" s="101"/>
    </row>
    <row r="32" spans="1:42" ht="14" customHeight="1" x14ac:dyDescent="0.25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403" t="s">
        <v>6</v>
      </c>
      <c r="M32" s="403"/>
      <c r="N32" s="403"/>
      <c r="O32" s="403"/>
      <c r="P32" s="403"/>
      <c r="Q32" s="403"/>
      <c r="R32" s="403"/>
      <c r="S32" s="403"/>
      <c r="T32" s="403"/>
      <c r="U32" s="426" t="s">
        <v>209</v>
      </c>
      <c r="V32" s="427"/>
      <c r="W32" s="427"/>
      <c r="X32" s="427"/>
      <c r="Y32" s="427"/>
      <c r="Z32" s="428"/>
      <c r="AA32" s="114" t="str">
        <f>IF(U32="","",IF(VLOOKUP(U32,'ODOT Districts and Counties'!$O$2:$P$89,2,FALSE)&lt;&gt;'TRANS. COV.'!U31," "&amp;U32&amp;" County is not in District "&amp;U31,""))</f>
        <v/>
      </c>
      <c r="AB32" s="115"/>
      <c r="AC32" s="115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3" ht="14" customHeight="1" x14ac:dyDescent="0.25">
      <c r="A33" s="101"/>
      <c r="B33" s="101"/>
      <c r="C33" s="101"/>
      <c r="D33" s="101"/>
      <c r="E33" s="101"/>
      <c r="F33" s="101"/>
      <c r="G33" s="101"/>
      <c r="H33" s="101"/>
      <c r="I33" s="101"/>
      <c r="J33" s="106"/>
      <c r="K33" s="116"/>
      <c r="L33" s="403" t="s">
        <v>78</v>
      </c>
      <c r="M33" s="403"/>
      <c r="N33" s="403"/>
      <c r="O33" s="403"/>
      <c r="P33" s="403"/>
      <c r="Q33" s="403"/>
      <c r="R33" s="403"/>
      <c r="S33" s="403"/>
      <c r="T33" s="403"/>
      <c r="U33" s="404" t="s">
        <v>2069</v>
      </c>
      <c r="V33" s="405"/>
      <c r="W33" s="405"/>
      <c r="X33" s="405"/>
      <c r="Y33" s="405"/>
      <c r="Z33" s="405"/>
      <c r="AA33" s="405"/>
      <c r="AB33" s="405"/>
      <c r="AC33" s="405"/>
      <c r="AD33" s="405"/>
      <c r="AE33" s="405"/>
      <c r="AF33" s="405"/>
      <c r="AG33" s="406"/>
      <c r="AH33" s="101"/>
      <c r="AI33" s="101"/>
      <c r="AJ33" s="101"/>
      <c r="AK33" s="101"/>
      <c r="AL33" s="101"/>
      <c r="AM33" s="101"/>
      <c r="AN33" s="101"/>
      <c r="AO33" s="101"/>
    </row>
    <row r="34" spans="1:43" ht="14" customHeight="1" x14ac:dyDescent="0.25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  <row r="35" spans="1:43" ht="14" customHeight="1" x14ac:dyDescent="0.25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9" t="s">
        <v>382</v>
      </c>
      <c r="L35" s="403" t="s">
        <v>103</v>
      </c>
      <c r="M35" s="403"/>
      <c r="N35" s="403"/>
      <c r="O35" s="403"/>
      <c r="P35" s="403"/>
      <c r="Q35" s="403"/>
      <c r="R35" s="403"/>
      <c r="S35" s="403"/>
      <c r="T35" s="403"/>
      <c r="U35" s="436" t="s">
        <v>1909</v>
      </c>
      <c r="V35" s="437"/>
      <c r="W35" s="437"/>
      <c r="X35" s="437"/>
      <c r="Y35" s="437"/>
      <c r="Z35" s="437"/>
      <c r="AA35" s="437"/>
      <c r="AB35" s="437"/>
      <c r="AC35" s="437"/>
      <c r="AD35" s="437"/>
      <c r="AE35" s="438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Q35" s="117"/>
    </row>
    <row r="36" spans="1:43" ht="14" customHeight="1" x14ac:dyDescent="0.25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403" t="s">
        <v>135</v>
      </c>
      <c r="M36" s="403"/>
      <c r="N36" s="403"/>
      <c r="O36" s="403"/>
      <c r="P36" s="403"/>
      <c r="Q36" s="403"/>
      <c r="R36" s="403"/>
      <c r="S36" s="403"/>
      <c r="T36" s="403"/>
      <c r="U36" s="433" t="s">
        <v>71</v>
      </c>
      <c r="V36" s="434"/>
      <c r="W36" s="434"/>
      <c r="X36" s="434"/>
      <c r="Y36" s="434"/>
      <c r="Z36" s="435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</row>
    <row r="37" spans="1:43" ht="7" customHeight="1" x14ac:dyDescent="0.25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</row>
    <row r="38" spans="1:43" ht="14" customHeight="1" x14ac:dyDescent="0.25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 t="s">
        <v>374</v>
      </c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</row>
    <row r="39" spans="1:43" ht="7" customHeight="1" x14ac:dyDescent="0.25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</row>
    <row r="40" spans="1:43" ht="14" customHeight="1" x14ac:dyDescent="0.25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432" t="s">
        <v>370</v>
      </c>
      <c r="M40" s="432"/>
      <c r="N40" s="432"/>
      <c r="O40" s="432"/>
      <c r="P40" s="432"/>
      <c r="Q40" s="432"/>
      <c r="R40" s="432"/>
      <c r="S40" s="432"/>
      <c r="T40" s="432"/>
      <c r="U40" s="404"/>
      <c r="V40" s="405"/>
      <c r="W40" s="405"/>
      <c r="X40" s="405"/>
      <c r="Y40" s="405"/>
      <c r="Z40" s="406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</row>
    <row r="41" spans="1:43" ht="14" customHeight="1" x14ac:dyDescent="0.25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432" t="s">
        <v>366</v>
      </c>
      <c r="M41" s="432"/>
      <c r="N41" s="432"/>
      <c r="O41" s="432"/>
      <c r="P41" s="432"/>
      <c r="Q41" s="432"/>
      <c r="R41" s="432"/>
      <c r="S41" s="432"/>
      <c r="T41" s="432"/>
      <c r="U41" s="404"/>
      <c r="V41" s="405"/>
      <c r="W41" s="405"/>
      <c r="X41" s="405"/>
      <c r="Y41" s="405"/>
      <c r="Z41" s="406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</row>
    <row r="42" spans="1:43" ht="14" customHeight="1" x14ac:dyDescent="0.25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432" t="s">
        <v>371</v>
      </c>
      <c r="M42" s="432"/>
      <c r="N42" s="432"/>
      <c r="O42" s="432"/>
      <c r="P42" s="432"/>
      <c r="Q42" s="432"/>
      <c r="R42" s="432"/>
      <c r="S42" s="432"/>
      <c r="T42" s="432"/>
      <c r="U42" s="404"/>
      <c r="V42" s="405"/>
      <c r="W42" s="405"/>
      <c r="X42" s="405"/>
      <c r="Y42" s="405"/>
      <c r="Z42" s="406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</row>
    <row r="43" spans="1:43" ht="14" customHeight="1" x14ac:dyDescent="0.25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</row>
    <row r="44" spans="1:43" ht="14" customHeight="1" x14ac:dyDescent="0.25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9" t="s">
        <v>369</v>
      </c>
      <c r="L44" s="403" t="s">
        <v>355</v>
      </c>
      <c r="M44" s="403"/>
      <c r="N44" s="403"/>
      <c r="O44" s="403"/>
      <c r="P44" s="403"/>
      <c r="Q44" s="403"/>
      <c r="R44" s="403"/>
      <c r="S44" s="403"/>
      <c r="T44" s="403"/>
      <c r="U44" s="429" t="s">
        <v>2076</v>
      </c>
      <c r="V44" s="430"/>
      <c r="W44" s="430"/>
      <c r="X44" s="430"/>
      <c r="Y44" s="430"/>
      <c r="Z44" s="430"/>
      <c r="AA44" s="430"/>
      <c r="AB44" s="430"/>
      <c r="AC44" s="430"/>
      <c r="AD44" s="430"/>
      <c r="AE44" s="430"/>
      <c r="AF44" s="430"/>
      <c r="AG44" s="430"/>
      <c r="AH44" s="430"/>
      <c r="AI44" s="430"/>
      <c r="AJ44" s="431"/>
      <c r="AK44" s="101"/>
      <c r="AL44" s="101"/>
      <c r="AM44" s="101"/>
      <c r="AN44" s="101"/>
      <c r="AO44" s="101"/>
    </row>
    <row r="45" spans="1:43" ht="14" customHeight="1" x14ac:dyDescent="0.25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9"/>
      <c r="L45" s="403" t="s">
        <v>356</v>
      </c>
      <c r="M45" s="403"/>
      <c r="N45" s="403"/>
      <c r="O45" s="403"/>
      <c r="P45" s="403"/>
      <c r="Q45" s="403"/>
      <c r="R45" s="403"/>
      <c r="S45" s="403"/>
      <c r="T45" s="403"/>
      <c r="U45" s="439" t="str">
        <f>IFERROR(VLOOKUP(U44,'Asphalt Mix Producers'!$A$2:$B$1000,2,FALSE),"")</f>
        <v>25987Q-01</v>
      </c>
      <c r="V45" s="440"/>
      <c r="W45" s="440"/>
      <c r="X45" s="440"/>
      <c r="Y45" s="440"/>
      <c r="Z45" s="440"/>
      <c r="AA45" s="440"/>
      <c r="AB45" s="441"/>
      <c r="AC45" s="101"/>
      <c r="AD45" s="101"/>
      <c r="AE45" s="101"/>
      <c r="AF45" s="111"/>
      <c r="AG45" s="101"/>
      <c r="AH45" s="101"/>
      <c r="AI45" s="101"/>
      <c r="AJ45" s="101"/>
      <c r="AK45" s="101"/>
      <c r="AL45" s="101"/>
      <c r="AM45" s="101"/>
      <c r="AN45" s="101"/>
      <c r="AO45" s="101"/>
    </row>
    <row r="46" spans="1:43" ht="14" customHeight="1" x14ac:dyDescent="0.25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403" t="s">
        <v>130</v>
      </c>
      <c r="M46" s="403"/>
      <c r="N46" s="403"/>
      <c r="O46" s="403"/>
      <c r="P46" s="403"/>
      <c r="Q46" s="403"/>
      <c r="R46" s="403"/>
      <c r="S46" s="403"/>
      <c r="T46" s="403"/>
      <c r="U46" s="429" t="s">
        <v>2078</v>
      </c>
      <c r="V46" s="430"/>
      <c r="W46" s="430"/>
      <c r="X46" s="430"/>
      <c r="Y46" s="430"/>
      <c r="Z46" s="430"/>
      <c r="AA46" s="430"/>
      <c r="AB46" s="430"/>
      <c r="AC46" s="430"/>
      <c r="AD46" s="430"/>
      <c r="AE46" s="430"/>
      <c r="AF46" s="430"/>
      <c r="AG46" s="430"/>
      <c r="AH46" s="430"/>
      <c r="AI46" s="430"/>
      <c r="AJ46" s="431"/>
      <c r="AK46" s="101"/>
      <c r="AL46" s="101"/>
      <c r="AM46" s="101"/>
      <c r="AN46" s="101"/>
      <c r="AO46" s="101"/>
    </row>
    <row r="47" spans="1:43" ht="14" customHeight="1" x14ac:dyDescent="0.25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403" t="s">
        <v>288</v>
      </c>
      <c r="M47" s="403"/>
      <c r="N47" s="403"/>
      <c r="O47" s="403"/>
      <c r="P47" s="403"/>
      <c r="Q47" s="403"/>
      <c r="R47" s="403"/>
      <c r="S47" s="403"/>
      <c r="T47" s="403"/>
      <c r="U47" s="442" t="str">
        <f>IFERROR(VLOOKUP(U46,'Asphalt Plants'!$A$2:$B$1000,2,FALSE),"")</f>
        <v>12301-01</v>
      </c>
      <c r="V47" s="442"/>
      <c r="W47" s="442"/>
      <c r="X47" s="442"/>
      <c r="Y47" s="442"/>
      <c r="Z47" s="442"/>
      <c r="AA47" s="442"/>
      <c r="AB47" s="442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</row>
    <row r="48" spans="1:43" ht="7" customHeight="1" x14ac:dyDescent="0.25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</row>
    <row r="49" spans="1:41" ht="14" customHeight="1" x14ac:dyDescent="0.25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 t="s">
        <v>127</v>
      </c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</row>
    <row r="50" spans="1:41" ht="7" customHeight="1" x14ac:dyDescent="0.2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</row>
    <row r="51" spans="1:41" ht="14" customHeight="1" x14ac:dyDescent="0.25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403" t="s">
        <v>128</v>
      </c>
      <c r="M51" s="403"/>
      <c r="N51" s="403"/>
      <c r="O51" s="403"/>
      <c r="P51" s="403"/>
      <c r="Q51" s="403"/>
      <c r="R51" s="403"/>
      <c r="S51" s="403"/>
      <c r="T51" s="403"/>
      <c r="U51" s="429"/>
      <c r="V51" s="430"/>
      <c r="W51" s="430"/>
      <c r="X51" s="430"/>
      <c r="Y51" s="430"/>
      <c r="Z51" s="430"/>
      <c r="AA51" s="430"/>
      <c r="AB51" s="430"/>
      <c r="AC51" s="430"/>
      <c r="AD51" s="430"/>
      <c r="AE51" s="430"/>
      <c r="AF51" s="430"/>
      <c r="AG51" s="430"/>
      <c r="AH51" s="430"/>
      <c r="AI51" s="430"/>
      <c r="AJ51" s="431"/>
      <c r="AK51" s="101"/>
      <c r="AL51" s="101"/>
      <c r="AM51" s="101"/>
      <c r="AN51" s="101"/>
      <c r="AO51" s="101"/>
    </row>
    <row r="52" spans="1:41" ht="14" customHeight="1" x14ac:dyDescent="0.25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403" t="s">
        <v>307</v>
      </c>
      <c r="M52" s="403"/>
      <c r="N52" s="403"/>
      <c r="O52" s="403"/>
      <c r="P52" s="403"/>
      <c r="Q52" s="403"/>
      <c r="R52" s="403"/>
      <c r="S52" s="403"/>
      <c r="T52" s="403"/>
      <c r="U52" s="439" t="str">
        <f>IFERROR(VLOOKUP(U51,'Asphalt Plants'!$A$2:$B$1000,2,FALSE),"")</f>
        <v/>
      </c>
      <c r="V52" s="440"/>
      <c r="W52" s="440"/>
      <c r="X52" s="440"/>
      <c r="Y52" s="440"/>
      <c r="Z52" s="440"/>
      <c r="AA52" s="440"/>
      <c r="AB52" s="44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</row>
    <row r="53" spans="1:41" ht="7" customHeight="1" x14ac:dyDescent="0.25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</row>
    <row r="54" spans="1:41" ht="14" customHeight="1" x14ac:dyDescent="0.25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403" t="s">
        <v>129</v>
      </c>
      <c r="M54" s="403"/>
      <c r="N54" s="403"/>
      <c r="O54" s="403"/>
      <c r="P54" s="403"/>
      <c r="Q54" s="403"/>
      <c r="R54" s="403"/>
      <c r="S54" s="403"/>
      <c r="T54" s="403"/>
      <c r="U54" s="429"/>
      <c r="V54" s="430"/>
      <c r="W54" s="430"/>
      <c r="X54" s="430"/>
      <c r="Y54" s="430"/>
      <c r="Z54" s="430"/>
      <c r="AA54" s="430"/>
      <c r="AB54" s="430"/>
      <c r="AC54" s="430"/>
      <c r="AD54" s="430"/>
      <c r="AE54" s="430"/>
      <c r="AF54" s="430"/>
      <c r="AG54" s="430"/>
      <c r="AH54" s="430"/>
      <c r="AI54" s="430"/>
      <c r="AJ54" s="431"/>
      <c r="AK54" s="101"/>
      <c r="AL54" s="101"/>
      <c r="AM54" s="101"/>
      <c r="AN54" s="101"/>
      <c r="AO54" s="101"/>
    </row>
    <row r="55" spans="1:41" ht="14" customHeight="1" x14ac:dyDescent="0.25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403" t="s">
        <v>308</v>
      </c>
      <c r="M55" s="403"/>
      <c r="N55" s="403"/>
      <c r="O55" s="403"/>
      <c r="P55" s="403"/>
      <c r="Q55" s="403"/>
      <c r="R55" s="403"/>
      <c r="S55" s="403"/>
      <c r="T55" s="403"/>
      <c r="U55" s="439" t="str">
        <f>IFERROR(VLOOKUP(U54,'Asphalt Plants'!$A$2:$B$1000,2,FALSE),"")</f>
        <v/>
      </c>
      <c r="V55" s="440"/>
      <c r="W55" s="440"/>
      <c r="X55" s="440"/>
      <c r="Y55" s="440"/>
      <c r="Z55" s="440"/>
      <c r="AA55" s="440"/>
      <c r="AB55" s="44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</row>
    <row r="56" spans="1:41" ht="14" customHeight="1" x14ac:dyDescent="0.25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</row>
    <row r="57" spans="1:41" ht="14" customHeight="1" x14ac:dyDescent="0.25">
      <c r="A57" s="101"/>
      <c r="B57" s="101"/>
      <c r="C57" s="101"/>
      <c r="D57" s="101"/>
      <c r="E57" s="101"/>
      <c r="F57" s="109" t="s">
        <v>357</v>
      </c>
      <c r="G57" s="407" t="s">
        <v>109</v>
      </c>
      <c r="H57" s="407"/>
      <c r="I57" s="407"/>
      <c r="J57" s="407"/>
      <c r="K57" s="407"/>
      <c r="L57" s="407"/>
      <c r="M57" s="407"/>
      <c r="N57" s="407"/>
      <c r="O57" s="407"/>
      <c r="P57" s="407"/>
      <c r="Q57" s="407"/>
      <c r="R57" s="407"/>
      <c r="S57" s="407"/>
      <c r="T57" s="407"/>
      <c r="U57" s="101"/>
      <c r="V57" s="101"/>
      <c r="W57" s="407" t="s">
        <v>77</v>
      </c>
      <c r="X57" s="407"/>
      <c r="Y57" s="407"/>
      <c r="Z57" s="407"/>
      <c r="AA57" s="407"/>
      <c r="AB57" s="407"/>
      <c r="AC57" s="407"/>
      <c r="AD57" s="407"/>
      <c r="AE57" s="407"/>
      <c r="AF57" s="407"/>
      <c r="AG57" s="407"/>
      <c r="AH57" s="407"/>
      <c r="AI57" s="407"/>
      <c r="AJ57" s="407"/>
      <c r="AK57" s="101"/>
      <c r="AL57" s="101"/>
      <c r="AM57" s="101"/>
      <c r="AN57" s="101"/>
      <c r="AO57" s="101"/>
    </row>
    <row r="58" spans="1:41" ht="14" customHeight="1" x14ac:dyDescent="0.25">
      <c r="A58" s="101"/>
      <c r="B58" s="101"/>
      <c r="C58" s="101"/>
      <c r="D58" s="101"/>
      <c r="E58" s="101"/>
      <c r="F58" s="101"/>
      <c r="G58" s="403" t="s">
        <v>0</v>
      </c>
      <c r="H58" s="403"/>
      <c r="I58" s="403"/>
      <c r="J58" s="403"/>
      <c r="K58" s="403"/>
      <c r="L58" s="403"/>
      <c r="M58" s="404" t="s">
        <v>2096</v>
      </c>
      <c r="N58" s="405"/>
      <c r="O58" s="405"/>
      <c r="P58" s="405"/>
      <c r="Q58" s="405"/>
      <c r="R58" s="405"/>
      <c r="S58" s="405"/>
      <c r="T58" s="406"/>
      <c r="U58" s="101"/>
      <c r="V58" s="101"/>
      <c r="W58" s="403" t="s">
        <v>0</v>
      </c>
      <c r="X58" s="403"/>
      <c r="Y58" s="403"/>
      <c r="Z58" s="403"/>
      <c r="AA58" s="403"/>
      <c r="AB58" s="403"/>
      <c r="AC58" s="404" t="s">
        <v>2097</v>
      </c>
      <c r="AD58" s="405"/>
      <c r="AE58" s="405"/>
      <c r="AF58" s="405"/>
      <c r="AG58" s="405"/>
      <c r="AH58" s="405"/>
      <c r="AI58" s="405"/>
      <c r="AJ58" s="406"/>
      <c r="AK58" s="101"/>
      <c r="AL58" s="101"/>
      <c r="AM58" s="101"/>
      <c r="AN58" s="101"/>
      <c r="AO58" s="101"/>
    </row>
    <row r="59" spans="1:41" ht="14" customHeight="1" x14ac:dyDescent="0.25">
      <c r="A59" s="101"/>
      <c r="B59" s="101"/>
      <c r="C59" s="101"/>
      <c r="D59" s="101"/>
      <c r="E59" s="101"/>
      <c r="F59" s="101"/>
      <c r="G59" s="418" t="s">
        <v>358</v>
      </c>
      <c r="H59" s="396"/>
      <c r="I59" s="396"/>
      <c r="J59" s="396"/>
      <c r="K59" s="396"/>
      <c r="L59" s="397"/>
      <c r="M59" s="404">
        <v>3</v>
      </c>
      <c r="N59" s="405"/>
      <c r="O59" s="405"/>
      <c r="P59" s="405"/>
      <c r="Q59" s="405"/>
      <c r="R59" s="405"/>
      <c r="S59" s="405"/>
      <c r="T59" s="406"/>
      <c r="U59" s="101"/>
      <c r="V59" s="101"/>
      <c r="W59" s="418" t="s">
        <v>358</v>
      </c>
      <c r="X59" s="396"/>
      <c r="Y59" s="396"/>
      <c r="Z59" s="396"/>
      <c r="AA59" s="396"/>
      <c r="AB59" s="397"/>
      <c r="AC59" s="404">
        <v>3</v>
      </c>
      <c r="AD59" s="405"/>
      <c r="AE59" s="405"/>
      <c r="AF59" s="405"/>
      <c r="AG59" s="405"/>
      <c r="AH59" s="405"/>
      <c r="AI59" s="405"/>
      <c r="AJ59" s="406"/>
      <c r="AK59" s="101"/>
      <c r="AL59" s="101"/>
      <c r="AM59" s="101"/>
      <c r="AN59" s="101"/>
      <c r="AO59" s="101"/>
    </row>
    <row r="60" spans="1:41" ht="14" customHeight="1" x14ac:dyDescent="0.25">
      <c r="A60" s="101"/>
      <c r="B60" s="101"/>
      <c r="C60" s="101"/>
      <c r="D60" s="101"/>
      <c r="E60" s="101"/>
      <c r="F60" s="101"/>
      <c r="G60" s="394" t="s">
        <v>352</v>
      </c>
      <c r="H60" s="395"/>
      <c r="I60" s="395"/>
      <c r="J60" s="395"/>
      <c r="K60" s="395"/>
      <c r="L60" s="395"/>
      <c r="M60" s="396"/>
      <c r="N60" s="397"/>
      <c r="O60" s="401">
        <v>42795</v>
      </c>
      <c r="P60" s="401"/>
      <c r="Q60" s="401"/>
      <c r="R60" s="401"/>
      <c r="S60" s="401"/>
      <c r="T60" s="401"/>
      <c r="U60" s="101"/>
      <c r="V60" s="101"/>
      <c r="W60" s="394" t="s">
        <v>352</v>
      </c>
      <c r="X60" s="395"/>
      <c r="Y60" s="395"/>
      <c r="Z60" s="395"/>
      <c r="AA60" s="395"/>
      <c r="AB60" s="395"/>
      <c r="AC60" s="396"/>
      <c r="AD60" s="397"/>
      <c r="AE60" s="398">
        <v>44621</v>
      </c>
      <c r="AF60" s="399"/>
      <c r="AG60" s="399"/>
      <c r="AH60" s="399"/>
      <c r="AI60" s="399"/>
      <c r="AJ60" s="400"/>
      <c r="AK60" s="101"/>
      <c r="AL60" s="101"/>
      <c r="AM60" s="101"/>
      <c r="AN60" s="101"/>
      <c r="AO60" s="101"/>
    </row>
    <row r="61" spans="1:41" ht="14" customHeight="1" x14ac:dyDescent="0.25">
      <c r="A61" s="101"/>
      <c r="B61" s="101"/>
      <c r="C61" s="101"/>
      <c r="D61" s="101"/>
      <c r="E61" s="101"/>
      <c r="F61" s="101"/>
      <c r="G61" s="394" t="s">
        <v>353</v>
      </c>
      <c r="H61" s="395"/>
      <c r="I61" s="395"/>
      <c r="J61" s="395"/>
      <c r="K61" s="395"/>
      <c r="L61" s="395"/>
      <c r="M61" s="395"/>
      <c r="N61" s="402"/>
      <c r="O61" s="401">
        <v>45689</v>
      </c>
      <c r="P61" s="401"/>
      <c r="Q61" s="401"/>
      <c r="R61" s="401"/>
      <c r="S61" s="401"/>
      <c r="T61" s="401"/>
      <c r="U61" s="101"/>
      <c r="V61" s="101"/>
      <c r="W61" s="394" t="s">
        <v>353</v>
      </c>
      <c r="X61" s="395"/>
      <c r="Y61" s="395"/>
      <c r="Z61" s="395"/>
      <c r="AA61" s="395"/>
      <c r="AB61" s="395"/>
      <c r="AC61" s="395"/>
      <c r="AD61" s="402"/>
      <c r="AE61" s="398">
        <v>45689</v>
      </c>
      <c r="AF61" s="399"/>
      <c r="AG61" s="399"/>
      <c r="AH61" s="399"/>
      <c r="AI61" s="399"/>
      <c r="AJ61" s="400"/>
      <c r="AK61" s="101"/>
      <c r="AL61" s="101"/>
      <c r="AM61" s="101"/>
      <c r="AN61" s="101"/>
      <c r="AO61" s="101"/>
    </row>
    <row r="62" spans="1:41" ht="7" customHeight="1" x14ac:dyDescent="0.25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</row>
    <row r="63" spans="1:41" ht="14" customHeight="1" x14ac:dyDescent="0.25">
      <c r="A63" s="101"/>
      <c r="B63" s="101"/>
      <c r="C63" s="101"/>
      <c r="D63" s="101"/>
      <c r="E63" s="101"/>
      <c r="F63" s="101"/>
      <c r="G63" s="407" t="s">
        <v>110</v>
      </c>
      <c r="H63" s="407"/>
      <c r="I63" s="407"/>
      <c r="J63" s="407"/>
      <c r="K63" s="407"/>
      <c r="L63" s="407"/>
      <c r="M63" s="407"/>
      <c r="N63" s="407"/>
      <c r="O63" s="407"/>
      <c r="P63" s="407"/>
      <c r="Q63" s="407"/>
      <c r="R63" s="407"/>
      <c r="S63" s="407"/>
      <c r="T63" s="407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</row>
    <row r="64" spans="1:41" ht="14" customHeight="1" x14ac:dyDescent="0.25">
      <c r="A64" s="101"/>
      <c r="B64" s="101"/>
      <c r="C64" s="101"/>
      <c r="D64" s="101"/>
      <c r="E64" s="101"/>
      <c r="F64" s="101"/>
      <c r="G64" s="403" t="s">
        <v>0</v>
      </c>
      <c r="H64" s="403"/>
      <c r="I64" s="403"/>
      <c r="J64" s="403"/>
      <c r="K64" s="403"/>
      <c r="L64" s="403"/>
      <c r="M64" s="404" t="s">
        <v>2088</v>
      </c>
      <c r="N64" s="405"/>
      <c r="O64" s="405"/>
      <c r="P64" s="405"/>
      <c r="Q64" s="405"/>
      <c r="R64" s="405"/>
      <c r="S64" s="405"/>
      <c r="T64" s="406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</row>
    <row r="65" spans="1:41" ht="14" customHeight="1" x14ac:dyDescent="0.25">
      <c r="A65" s="101"/>
      <c r="B65" s="101"/>
      <c r="C65" s="101"/>
      <c r="D65" s="101"/>
      <c r="E65" s="101"/>
      <c r="F65" s="101"/>
      <c r="G65" s="418" t="s">
        <v>7</v>
      </c>
      <c r="H65" s="396"/>
      <c r="I65" s="396"/>
      <c r="J65" s="396"/>
      <c r="K65" s="396"/>
      <c r="L65" s="397"/>
      <c r="M65" s="404" t="s">
        <v>2098</v>
      </c>
      <c r="N65" s="405"/>
      <c r="O65" s="405"/>
      <c r="P65" s="405"/>
      <c r="Q65" s="405"/>
      <c r="R65" s="405"/>
      <c r="S65" s="405"/>
      <c r="T65" s="406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</row>
    <row r="66" spans="1:41" ht="14" customHeight="1" x14ac:dyDescent="0.25">
      <c r="A66" s="101"/>
      <c r="B66" s="101"/>
      <c r="C66" s="101"/>
      <c r="D66" s="101"/>
      <c r="E66" s="101"/>
      <c r="F66" s="101"/>
      <c r="G66" s="394" t="s">
        <v>352</v>
      </c>
      <c r="H66" s="395"/>
      <c r="I66" s="395"/>
      <c r="J66" s="395"/>
      <c r="K66" s="395"/>
      <c r="L66" s="395"/>
      <c r="M66" s="396"/>
      <c r="N66" s="397"/>
      <c r="O66" s="398">
        <v>36982</v>
      </c>
      <c r="P66" s="399"/>
      <c r="Q66" s="399"/>
      <c r="R66" s="399"/>
      <c r="S66" s="399"/>
      <c r="T66" s="400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</row>
    <row r="67" spans="1:41" ht="14" customHeight="1" x14ac:dyDescent="0.25">
      <c r="A67" s="101"/>
      <c r="B67" s="101"/>
      <c r="C67" s="101"/>
      <c r="D67" s="101"/>
      <c r="E67" s="101"/>
      <c r="F67" s="101"/>
      <c r="G67" s="394" t="s">
        <v>353</v>
      </c>
      <c r="H67" s="395"/>
      <c r="I67" s="395"/>
      <c r="J67" s="395"/>
      <c r="K67" s="395"/>
      <c r="L67" s="395"/>
      <c r="M67" s="395"/>
      <c r="N67" s="402"/>
      <c r="O67" s="398">
        <v>46054</v>
      </c>
      <c r="P67" s="399"/>
      <c r="Q67" s="399"/>
      <c r="R67" s="399"/>
      <c r="S67" s="399"/>
      <c r="T67" s="400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</row>
    <row r="68" spans="1:41" ht="14" customHeight="1" x14ac:dyDescent="0.25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</row>
    <row r="69" spans="1:41" ht="14" customHeight="1" x14ac:dyDescent="0.25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10" t="s">
        <v>319</v>
      </c>
      <c r="W69" s="393" t="s">
        <v>309</v>
      </c>
      <c r="X69" s="393"/>
      <c r="Y69" s="393"/>
      <c r="Z69" s="393"/>
      <c r="AA69" s="393"/>
      <c r="AB69" s="393"/>
      <c r="AC69" s="393"/>
      <c r="AD69" s="119"/>
      <c r="AE69" s="101"/>
      <c r="AF69" s="111"/>
      <c r="AG69" s="101"/>
      <c r="AH69" s="101"/>
      <c r="AI69" s="101"/>
      <c r="AJ69" s="101"/>
      <c r="AK69" s="101"/>
      <c r="AL69" s="101"/>
      <c r="AM69" s="101"/>
      <c r="AN69" s="101"/>
      <c r="AO69" s="101"/>
    </row>
    <row r="70" spans="1:41" ht="14" customHeight="1" x14ac:dyDescent="0.25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12"/>
      <c r="X70" s="112"/>
      <c r="Y70" s="112"/>
      <c r="Z70" s="112"/>
      <c r="AA70" s="112"/>
      <c r="AB70" s="112"/>
      <c r="AC70" s="112"/>
      <c r="AD70" s="112"/>
      <c r="AE70" s="120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</row>
    <row r="71" spans="1:41" ht="14" customHeight="1" x14ac:dyDescent="0.25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8"/>
      <c r="R71" s="108"/>
      <c r="S71" s="108"/>
      <c r="T71" s="108"/>
      <c r="U71" s="108"/>
      <c r="V71" s="110" t="s">
        <v>354</v>
      </c>
      <c r="W71" s="392">
        <v>45458</v>
      </c>
      <c r="X71" s="392"/>
      <c r="Y71" s="392"/>
      <c r="Z71" s="392"/>
      <c r="AA71" s="392"/>
      <c r="AB71" s="392"/>
      <c r="AC71" s="392"/>
      <c r="AD71" s="392"/>
      <c r="AE71" s="392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</row>
    <row r="72" spans="1:41" ht="14" customHeight="1" x14ac:dyDescent="0.25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</row>
    <row r="73" spans="1:41" ht="14" customHeight="1" x14ac:dyDescent="0.25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21" t="s">
        <v>1265</v>
      </c>
    </row>
    <row r="75" spans="1:41" ht="14" customHeight="1" x14ac:dyDescent="0.25">
      <c r="A75" s="122"/>
      <c r="C75" s="122"/>
      <c r="E75" s="122"/>
      <c r="G75" s="122"/>
      <c r="I75" s="122"/>
      <c r="K75" s="122"/>
      <c r="M75" s="122"/>
      <c r="O75" s="122"/>
      <c r="Q75" s="122"/>
      <c r="S75" s="122"/>
      <c r="U75" s="122"/>
      <c r="W75" s="122"/>
      <c r="Y75" s="122"/>
      <c r="AA75" s="122"/>
      <c r="AC75" s="122"/>
      <c r="AE75" s="122"/>
      <c r="AG75" s="122"/>
      <c r="AI75" s="122"/>
      <c r="AK75" s="122"/>
      <c r="AM75" s="122"/>
      <c r="AO75" s="122"/>
    </row>
    <row r="76" spans="1:41" ht="14" customHeight="1" x14ac:dyDescent="0.25">
      <c r="A76" s="122"/>
    </row>
    <row r="77" spans="1:41" ht="14" customHeight="1" x14ac:dyDescent="0.25">
      <c r="A77" s="122"/>
    </row>
    <row r="78" spans="1:41" ht="14" customHeight="1" x14ac:dyDescent="0.25">
      <c r="A78" s="122"/>
    </row>
    <row r="79" spans="1:41" ht="14" customHeight="1" x14ac:dyDescent="0.25">
      <c r="A79" s="122"/>
    </row>
    <row r="80" spans="1:41" ht="14" customHeight="1" x14ac:dyDescent="0.25">
      <c r="A80" s="122"/>
    </row>
    <row r="81" spans="1:1" ht="14" customHeight="1" x14ac:dyDescent="0.25">
      <c r="A81" s="122"/>
    </row>
    <row r="82" spans="1:1" ht="14" customHeight="1" x14ac:dyDescent="0.25">
      <c r="A82" s="122"/>
    </row>
    <row r="83" spans="1:1" ht="14" customHeight="1" x14ac:dyDescent="0.25">
      <c r="A83" s="122"/>
    </row>
    <row r="84" spans="1:1" ht="14" customHeight="1" x14ac:dyDescent="0.25">
      <c r="A84" s="122"/>
    </row>
    <row r="85" spans="1:1" ht="14" customHeight="1" x14ac:dyDescent="0.25">
      <c r="A85" s="122"/>
    </row>
    <row r="86" spans="1:1" ht="14" customHeight="1" x14ac:dyDescent="0.25">
      <c r="A86" s="122"/>
    </row>
    <row r="87" spans="1:1" ht="14" customHeight="1" x14ac:dyDescent="0.25">
      <c r="A87" s="122"/>
    </row>
    <row r="88" spans="1:1" ht="14" customHeight="1" x14ac:dyDescent="0.25">
      <c r="A88" s="122"/>
    </row>
    <row r="89" spans="1:1" ht="14" customHeight="1" x14ac:dyDescent="0.25">
      <c r="A89" s="122"/>
    </row>
    <row r="90" spans="1:1" ht="14" customHeight="1" x14ac:dyDescent="0.25">
      <c r="A90" s="122"/>
    </row>
    <row r="91" spans="1:1" ht="14" customHeight="1" x14ac:dyDescent="0.25">
      <c r="A91" s="122"/>
    </row>
    <row r="92" spans="1:1" ht="14" customHeight="1" x14ac:dyDescent="0.25">
      <c r="A92" s="122"/>
    </row>
    <row r="93" spans="1:1" ht="14" customHeight="1" x14ac:dyDescent="0.25">
      <c r="A93" s="122"/>
    </row>
    <row r="94" spans="1:1" ht="14" customHeight="1" x14ac:dyDescent="0.25">
      <c r="A94" s="122"/>
    </row>
    <row r="95" spans="1:1" ht="14" customHeight="1" x14ac:dyDescent="0.25">
      <c r="A95" s="122"/>
    </row>
  </sheetData>
  <dataConsolidate/>
  <mergeCells count="100">
    <mergeCell ref="U31:Z31"/>
    <mergeCell ref="U29:Z29"/>
    <mergeCell ref="D22:H22"/>
    <mergeCell ref="D23:H23"/>
    <mergeCell ref="D24:H24"/>
    <mergeCell ref="D25:H25"/>
    <mergeCell ref="D26:H26"/>
    <mergeCell ref="U30:Z30"/>
    <mergeCell ref="I24:P24"/>
    <mergeCell ref="L28:T28"/>
    <mergeCell ref="L29:T29"/>
    <mergeCell ref="L31:T31"/>
    <mergeCell ref="L30:T30"/>
    <mergeCell ref="I26:N26"/>
    <mergeCell ref="W24:AA24"/>
    <mergeCell ref="U28:Z28"/>
    <mergeCell ref="U36:Z36"/>
    <mergeCell ref="U35:AE35"/>
    <mergeCell ref="L35:T35"/>
    <mergeCell ref="U55:AB55"/>
    <mergeCell ref="U52:AB52"/>
    <mergeCell ref="U45:AB45"/>
    <mergeCell ref="U46:AJ46"/>
    <mergeCell ref="U47:AB47"/>
    <mergeCell ref="U51:AJ51"/>
    <mergeCell ref="U54:AJ54"/>
    <mergeCell ref="U42:Z42"/>
    <mergeCell ref="L44:T44"/>
    <mergeCell ref="L45:T45"/>
    <mergeCell ref="W59:AB59"/>
    <mergeCell ref="M59:T59"/>
    <mergeCell ref="G59:L59"/>
    <mergeCell ref="U32:Z32"/>
    <mergeCell ref="U33:AG33"/>
    <mergeCell ref="U44:AJ44"/>
    <mergeCell ref="L32:T32"/>
    <mergeCell ref="L33:T33"/>
    <mergeCell ref="L40:T40"/>
    <mergeCell ref="L41:T41"/>
    <mergeCell ref="L42:T42"/>
    <mergeCell ref="U40:Z40"/>
    <mergeCell ref="W58:AB58"/>
    <mergeCell ref="AC58:AJ58"/>
    <mergeCell ref="L36:T36"/>
    <mergeCell ref="U41:Z41"/>
    <mergeCell ref="H7:AF7"/>
    <mergeCell ref="K9:AE9"/>
    <mergeCell ref="K10:AE10"/>
    <mergeCell ref="K11:AE11"/>
    <mergeCell ref="K12:AE12"/>
    <mergeCell ref="I22:U22"/>
    <mergeCell ref="AB22:AG22"/>
    <mergeCell ref="AB23:AG23"/>
    <mergeCell ref="W22:AA22"/>
    <mergeCell ref="W23:AA23"/>
    <mergeCell ref="I23:U23"/>
    <mergeCell ref="AB24:AL24"/>
    <mergeCell ref="W57:AJ57"/>
    <mergeCell ref="G65:L65"/>
    <mergeCell ref="G60:N60"/>
    <mergeCell ref="M65:T65"/>
    <mergeCell ref="G57:T57"/>
    <mergeCell ref="AC59:AJ59"/>
    <mergeCell ref="M58:T58"/>
    <mergeCell ref="G58:L58"/>
    <mergeCell ref="L46:T46"/>
    <mergeCell ref="I25:N25"/>
    <mergeCell ref="L47:T47"/>
    <mergeCell ref="L51:T51"/>
    <mergeCell ref="L52:T52"/>
    <mergeCell ref="L54:T54"/>
    <mergeCell ref="L55:T55"/>
    <mergeCell ref="K13:AE13"/>
    <mergeCell ref="U20:Z20"/>
    <mergeCell ref="K14:AE14"/>
    <mergeCell ref="U16:AD16"/>
    <mergeCell ref="U17:AD17"/>
    <mergeCell ref="U18:Z18"/>
    <mergeCell ref="U19:Z19"/>
    <mergeCell ref="L16:T16"/>
    <mergeCell ref="L17:T17"/>
    <mergeCell ref="L18:T18"/>
    <mergeCell ref="L19:T19"/>
    <mergeCell ref="L20:T20"/>
    <mergeCell ref="W71:AE71"/>
    <mergeCell ref="W69:AC69"/>
    <mergeCell ref="G66:N66"/>
    <mergeCell ref="O66:T66"/>
    <mergeCell ref="O60:T60"/>
    <mergeCell ref="G61:N61"/>
    <mergeCell ref="O61:T61"/>
    <mergeCell ref="G64:L64"/>
    <mergeCell ref="M64:T64"/>
    <mergeCell ref="W60:AD60"/>
    <mergeCell ref="AE60:AJ60"/>
    <mergeCell ref="W61:AD61"/>
    <mergeCell ref="AE61:AJ61"/>
    <mergeCell ref="G63:T63"/>
    <mergeCell ref="G67:N67"/>
    <mergeCell ref="O67:T67"/>
  </mergeCells>
  <dataValidations count="3">
    <dataValidation type="list" allowBlank="1" showInputMessage="1" showErrorMessage="1" sqref="W69" xr:uid="{9BBABCAC-4EB2-4577-AF45-B42240567646}">
      <formula1>"Yes,No"</formula1>
    </dataValidation>
    <dataValidation type="list" allowBlank="1" showInputMessage="1" showErrorMessage="1" sqref="U32:Z32" xr:uid="{00000000-0002-0000-0300-000001000000}">
      <formula1>INDIRECT(IF(LEN($U$31)&gt;2,"_Please_Select","_"&amp;$U$31))</formula1>
    </dataValidation>
    <dataValidation type="list" allowBlank="1" showInputMessage="1" showErrorMessage="1" sqref="U28:Z28 U36:Z36" xr:uid="{00000000-0002-0000-0300-000002000000}">
      <formula1>"No,Yes"</formula1>
    </dataValidation>
  </dataValidations>
  <printOptions horizontalCentered="1"/>
  <pageMargins left="0.5" right="0.5" top="0.5" bottom="0.5" header="0.3" footer="0.3"/>
  <pageSetup scale="75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3000000}">
          <x14:formula1>
            <xm:f>'Asphalt Plants'!$A$2:$A$1000</xm:f>
          </x14:formula1>
          <xm:sqref>U51:AJ51 U54:AJ54 U46:AJ46</xm:sqref>
        </x14:dataValidation>
        <x14:dataValidation type="list" allowBlank="1" showInputMessage="1" showErrorMessage="1" xr:uid="{00000000-0002-0000-0300-000004000000}">
          <x14:formula1>
            <xm:f>'ODOT Districts and Counties'!$B$1:$M$1</xm:f>
          </x14:formula1>
          <xm:sqref>U31:Z31</xm:sqref>
        </x14:dataValidation>
        <x14:dataValidation type="list" allowBlank="1" showInputMessage="1" showErrorMessage="1" xr:uid="{00000000-0002-0000-0300-000005000000}">
          <x14:formula1>
            <xm:f>'Asphalt Mix Producers'!$A$2:$A$1000</xm:f>
          </x14:formula1>
          <xm:sqref>U44:AJ44</xm:sqref>
        </x14:dataValidation>
        <x14:dataValidation type="list" allowBlank="1" showInputMessage="1" showErrorMessage="1" xr:uid="{58763EC7-E858-4F2F-8C72-982D47D79ABF}">
          <x14:formula1>
            <xm:f>'301 Spec_New_Table'!$E$9:$E$9</xm:f>
          </x14:formula1>
          <xm:sqref>U35:AE35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0">
    <tabColor theme="7" tint="0.59999389629810485"/>
  </sheetPr>
  <dimension ref="A1:B40"/>
  <sheetViews>
    <sheetView topLeftCell="A23" workbookViewId="0"/>
  </sheetViews>
  <sheetFormatPr defaultColWidth="8.90625" defaultRowHeight="14.5" x14ac:dyDescent="0.35"/>
  <cols>
    <col min="1" max="1" width="53.453125" style="22" bestFit="1" customWidth="1"/>
    <col min="2" max="2" width="13.54296875" style="22" bestFit="1" customWidth="1"/>
    <col min="3" max="16384" width="8.90625" style="23"/>
  </cols>
  <sheetData>
    <row r="1" spans="1:2" x14ac:dyDescent="0.35">
      <c r="A1" s="19" t="s">
        <v>1812</v>
      </c>
      <c r="B1" s="19" t="s">
        <v>387</v>
      </c>
    </row>
    <row r="2" spans="1:2" x14ac:dyDescent="0.35">
      <c r="A2" s="21" t="s">
        <v>1850</v>
      </c>
      <c r="B2" s="21" t="s">
        <v>1849</v>
      </c>
    </row>
    <row r="3" spans="1:2" x14ac:dyDescent="0.35">
      <c r="A3" s="21" t="s">
        <v>1846</v>
      </c>
      <c r="B3" s="21" t="s">
        <v>1845</v>
      </c>
    </row>
    <row r="4" spans="1:2" x14ac:dyDescent="0.35">
      <c r="A4" s="21" t="s">
        <v>1870</v>
      </c>
      <c r="B4" s="21" t="s">
        <v>1869</v>
      </c>
    </row>
    <row r="5" spans="1:2" x14ac:dyDescent="0.35">
      <c r="A5" s="21" t="s">
        <v>1856</v>
      </c>
      <c r="B5" s="21" t="s">
        <v>1855</v>
      </c>
    </row>
    <row r="6" spans="1:2" x14ac:dyDescent="0.35">
      <c r="A6" s="21" t="s">
        <v>1834</v>
      </c>
      <c r="B6" s="21" t="s">
        <v>1833</v>
      </c>
    </row>
    <row r="7" spans="1:2" x14ac:dyDescent="0.35">
      <c r="A7" s="21" t="s">
        <v>1822</v>
      </c>
      <c r="B7" s="21" t="s">
        <v>1821</v>
      </c>
    </row>
    <row r="8" spans="1:2" x14ac:dyDescent="0.35">
      <c r="A8" s="21" t="s">
        <v>1862</v>
      </c>
      <c r="B8" s="21" t="s">
        <v>1861</v>
      </c>
    </row>
    <row r="9" spans="1:2" x14ac:dyDescent="0.35">
      <c r="A9" s="21" t="s">
        <v>565</v>
      </c>
      <c r="B9" s="21" t="s">
        <v>1885</v>
      </c>
    </row>
    <row r="10" spans="1:2" x14ac:dyDescent="0.35">
      <c r="A10" s="21" t="s">
        <v>1868</v>
      </c>
      <c r="B10" s="21" t="s">
        <v>1867</v>
      </c>
    </row>
    <row r="11" spans="1:2" x14ac:dyDescent="0.35">
      <c r="A11" s="21" t="s">
        <v>1887</v>
      </c>
      <c r="B11" s="21" t="s">
        <v>1886</v>
      </c>
    </row>
    <row r="12" spans="1:2" x14ac:dyDescent="0.35">
      <c r="A12" s="21" t="s">
        <v>1844</v>
      </c>
      <c r="B12" s="21" t="s">
        <v>1843</v>
      </c>
    </row>
    <row r="13" spans="1:2" x14ac:dyDescent="0.35">
      <c r="A13" s="21" t="s">
        <v>1882</v>
      </c>
      <c r="B13" s="21" t="s">
        <v>1881</v>
      </c>
    </row>
    <row r="14" spans="1:2" x14ac:dyDescent="0.35">
      <c r="A14" s="21" t="s">
        <v>1884</v>
      </c>
      <c r="B14" s="21" t="s">
        <v>1883</v>
      </c>
    </row>
    <row r="15" spans="1:2" x14ac:dyDescent="0.35">
      <c r="A15" s="21" t="s">
        <v>1889</v>
      </c>
      <c r="B15" s="21" t="s">
        <v>1888</v>
      </c>
    </row>
    <row r="16" spans="1:2" x14ac:dyDescent="0.35">
      <c r="A16" s="21" t="s">
        <v>1816</v>
      </c>
      <c r="B16" s="21" t="s">
        <v>1815</v>
      </c>
    </row>
    <row r="17" spans="1:2" x14ac:dyDescent="0.35">
      <c r="A17" s="21" t="s">
        <v>1836</v>
      </c>
      <c r="B17" s="21" t="s">
        <v>1835</v>
      </c>
    </row>
    <row r="18" spans="1:2" x14ac:dyDescent="0.35">
      <c r="A18" s="21" t="s">
        <v>1830</v>
      </c>
      <c r="B18" s="21" t="s">
        <v>1829</v>
      </c>
    </row>
    <row r="19" spans="1:2" x14ac:dyDescent="0.35">
      <c r="A19" s="21" t="s">
        <v>1818</v>
      </c>
      <c r="B19" s="21" t="s">
        <v>1817</v>
      </c>
    </row>
    <row r="20" spans="1:2" x14ac:dyDescent="0.35">
      <c r="A20" s="21" t="s">
        <v>1838</v>
      </c>
      <c r="B20" s="21" t="s">
        <v>1837</v>
      </c>
    </row>
    <row r="21" spans="1:2" x14ac:dyDescent="0.35">
      <c r="A21" s="21" t="s">
        <v>1872</v>
      </c>
      <c r="B21" s="21" t="s">
        <v>1871</v>
      </c>
    </row>
    <row r="22" spans="1:2" x14ac:dyDescent="0.35">
      <c r="A22" s="21" t="s">
        <v>1820</v>
      </c>
      <c r="B22" s="21" t="s">
        <v>1819</v>
      </c>
    </row>
    <row r="23" spans="1:2" x14ac:dyDescent="0.35">
      <c r="A23" s="21" t="s">
        <v>1874</v>
      </c>
      <c r="B23" s="21" t="s">
        <v>1873</v>
      </c>
    </row>
    <row r="24" spans="1:2" x14ac:dyDescent="0.35">
      <c r="A24" s="21" t="s">
        <v>1826</v>
      </c>
      <c r="B24" s="21" t="s">
        <v>1825</v>
      </c>
    </row>
    <row r="25" spans="1:2" x14ac:dyDescent="0.35">
      <c r="A25" s="21" t="s">
        <v>1854</v>
      </c>
      <c r="B25" s="21" t="s">
        <v>1853</v>
      </c>
    </row>
    <row r="26" spans="1:2" x14ac:dyDescent="0.35">
      <c r="A26" s="21" t="s">
        <v>1842</v>
      </c>
      <c r="B26" s="21" t="s">
        <v>1841</v>
      </c>
    </row>
    <row r="27" spans="1:2" x14ac:dyDescent="0.35">
      <c r="A27" s="21" t="s">
        <v>1840</v>
      </c>
      <c r="B27" s="21" t="s">
        <v>1839</v>
      </c>
    </row>
    <row r="28" spans="1:2" x14ac:dyDescent="0.35">
      <c r="A28" s="21" t="s">
        <v>1864</v>
      </c>
      <c r="B28" s="21" t="s">
        <v>1863</v>
      </c>
    </row>
    <row r="29" spans="1:2" x14ac:dyDescent="0.35">
      <c r="A29" s="21" t="s">
        <v>1832</v>
      </c>
      <c r="B29" s="21" t="s">
        <v>1831</v>
      </c>
    </row>
    <row r="30" spans="1:2" x14ac:dyDescent="0.35">
      <c r="A30" s="21" t="s">
        <v>1880</v>
      </c>
      <c r="B30" s="21" t="s">
        <v>1879</v>
      </c>
    </row>
    <row r="31" spans="1:2" x14ac:dyDescent="0.35">
      <c r="A31" s="21" t="s">
        <v>1876</v>
      </c>
      <c r="B31" s="21" t="s">
        <v>1875</v>
      </c>
    </row>
    <row r="32" spans="1:2" x14ac:dyDescent="0.35">
      <c r="A32" s="21" t="s">
        <v>1878</v>
      </c>
      <c r="B32" s="21" t="s">
        <v>1877</v>
      </c>
    </row>
    <row r="33" spans="1:2" x14ac:dyDescent="0.35">
      <c r="A33" s="21" t="s">
        <v>1858</v>
      </c>
      <c r="B33" s="21" t="s">
        <v>1857</v>
      </c>
    </row>
    <row r="34" spans="1:2" x14ac:dyDescent="0.35">
      <c r="A34" s="21" t="s">
        <v>1848</v>
      </c>
      <c r="B34" s="21" t="s">
        <v>1847</v>
      </c>
    </row>
    <row r="35" spans="1:2" x14ac:dyDescent="0.35">
      <c r="A35" s="21" t="s">
        <v>1828</v>
      </c>
      <c r="B35" s="21" t="s">
        <v>1827</v>
      </c>
    </row>
    <row r="36" spans="1:2" x14ac:dyDescent="0.35">
      <c r="A36" s="21" t="s">
        <v>1852</v>
      </c>
      <c r="B36" s="21" t="s">
        <v>1851</v>
      </c>
    </row>
    <row r="37" spans="1:2" x14ac:dyDescent="0.35">
      <c r="A37" s="21" t="s">
        <v>1860</v>
      </c>
      <c r="B37" s="21" t="s">
        <v>1859</v>
      </c>
    </row>
    <row r="38" spans="1:2" x14ac:dyDescent="0.35">
      <c r="A38" s="21" t="s">
        <v>1824</v>
      </c>
      <c r="B38" s="21" t="s">
        <v>1823</v>
      </c>
    </row>
    <row r="39" spans="1:2" x14ac:dyDescent="0.35">
      <c r="A39" s="21" t="s">
        <v>1866</v>
      </c>
      <c r="B39" s="21" t="s">
        <v>1865</v>
      </c>
    </row>
    <row r="40" spans="1:2" x14ac:dyDescent="0.35">
      <c r="A40" s="377" t="s">
        <v>2080</v>
      </c>
      <c r="B40" s="377" t="s">
        <v>2081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2">
    <tabColor theme="7" tint="0.59999389629810485"/>
  </sheetPr>
  <dimension ref="A1:E6"/>
  <sheetViews>
    <sheetView workbookViewId="0"/>
  </sheetViews>
  <sheetFormatPr defaultRowHeight="14.5" x14ac:dyDescent="0.25"/>
  <cols>
    <col min="1" max="1" width="20.6328125" style="61" customWidth="1"/>
    <col min="2" max="2" width="18.90625" style="61" customWidth="1"/>
    <col min="3" max="3" width="29.453125" style="61" customWidth="1"/>
    <col min="4" max="4" width="31.453125" style="61" bestFit="1" customWidth="1"/>
    <col min="5" max="5" width="14.54296875" style="61" customWidth="1"/>
    <col min="6" max="6" width="16.1796875" style="61" bestFit="1" customWidth="1"/>
    <col min="7" max="16374" width="9" style="61" bestFit="1" customWidth="1"/>
    <col min="16375" max="16384" width="9" style="61" customWidth="1"/>
  </cols>
  <sheetData>
    <row r="1" spans="1:5" x14ac:dyDescent="0.25">
      <c r="A1" s="58" t="s">
        <v>1890</v>
      </c>
      <c r="B1" s="58" t="s">
        <v>1813</v>
      </c>
      <c r="C1" s="58" t="s">
        <v>1814</v>
      </c>
      <c r="D1" s="58" t="s">
        <v>1812</v>
      </c>
      <c r="E1" s="58" t="s">
        <v>387</v>
      </c>
    </row>
    <row r="2" spans="1:5" x14ac:dyDescent="0.25">
      <c r="A2" s="60" t="s">
        <v>297</v>
      </c>
      <c r="B2" s="60" t="s">
        <v>299</v>
      </c>
      <c r="C2" s="62" t="s">
        <v>142</v>
      </c>
      <c r="D2" s="60" t="s">
        <v>1892</v>
      </c>
      <c r="E2" s="60" t="s">
        <v>1891</v>
      </c>
    </row>
    <row r="3" spans="1:5" x14ac:dyDescent="0.25">
      <c r="A3" s="60" t="s">
        <v>1898</v>
      </c>
      <c r="B3" s="60" t="s">
        <v>299</v>
      </c>
      <c r="C3" s="62" t="s">
        <v>142</v>
      </c>
      <c r="D3" s="60" t="s">
        <v>1897</v>
      </c>
      <c r="E3" s="60" t="s">
        <v>1896</v>
      </c>
    </row>
    <row r="4" spans="1:5" x14ac:dyDescent="0.25">
      <c r="A4" s="60" t="s">
        <v>301</v>
      </c>
      <c r="B4" s="60" t="s">
        <v>300</v>
      </c>
      <c r="C4" s="60" t="s">
        <v>303</v>
      </c>
      <c r="D4" s="60" t="s">
        <v>1892</v>
      </c>
      <c r="E4" s="60" t="s">
        <v>1891</v>
      </c>
    </row>
    <row r="5" spans="1:5" x14ac:dyDescent="0.25">
      <c r="A5" s="60" t="s">
        <v>1895</v>
      </c>
      <c r="B5" s="60" t="s">
        <v>302</v>
      </c>
      <c r="C5" s="63" t="s">
        <v>289</v>
      </c>
      <c r="D5" s="60" t="s">
        <v>1894</v>
      </c>
      <c r="E5" s="60" t="s">
        <v>1893</v>
      </c>
    </row>
    <row r="6" spans="1:5" x14ac:dyDescent="0.25">
      <c r="A6" s="60" t="s">
        <v>1901</v>
      </c>
      <c r="B6" s="60" t="s">
        <v>302</v>
      </c>
      <c r="C6" s="63" t="s">
        <v>289</v>
      </c>
      <c r="D6" s="60" t="s">
        <v>1900</v>
      </c>
      <c r="E6" s="60" t="s">
        <v>1899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AQ79"/>
  <sheetViews>
    <sheetView zoomScale="80" zoomScaleNormal="80" zoomScaleSheetLayoutView="80" workbookViewId="0"/>
  </sheetViews>
  <sheetFormatPr defaultColWidth="9.08984375" defaultRowHeight="14" customHeight="1" x14ac:dyDescent="0.25"/>
  <cols>
    <col min="1" max="41" width="2.81640625" style="102" customWidth="1"/>
    <col min="42" max="16384" width="9.08984375" style="102"/>
  </cols>
  <sheetData>
    <row r="1" spans="1:41" ht="14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ht="14" customHeight="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ht="14" customHeight="1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ht="13.75" customHeigh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ht="14" customHeight="1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</row>
    <row r="6" spans="1:41" ht="14" customHeight="1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</row>
    <row r="7" spans="1:41" ht="14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</row>
    <row r="8" spans="1:41" ht="14" customHeight="1" x14ac:dyDescent="0.25">
      <c r="A8" s="511" t="s">
        <v>102</v>
      </c>
      <c r="B8" s="511"/>
      <c r="C8" s="511"/>
      <c r="D8" s="511"/>
      <c r="E8" s="511"/>
      <c r="F8" s="511"/>
      <c r="G8" s="511"/>
      <c r="H8" s="511"/>
      <c r="I8" s="51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</row>
    <row r="9" spans="1:41" ht="8" customHeight="1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</row>
    <row r="10" spans="1:41" ht="14" customHeight="1" x14ac:dyDescent="0.25">
      <c r="A10" s="514" t="s">
        <v>153</v>
      </c>
      <c r="B10" s="514"/>
      <c r="C10" s="514"/>
      <c r="D10" s="514"/>
      <c r="E10" s="514"/>
      <c r="F10" s="514"/>
      <c r="G10" s="514"/>
      <c r="H10" s="514"/>
      <c r="I10" s="514"/>
      <c r="J10" s="514"/>
      <c r="K10" s="514"/>
      <c r="L10" s="514"/>
      <c r="M10" s="514"/>
      <c r="N10" s="514"/>
      <c r="O10" s="514"/>
      <c r="P10" s="514"/>
      <c r="Q10" s="514"/>
      <c r="R10" s="514"/>
      <c r="S10" s="514"/>
      <c r="T10" s="514"/>
      <c r="U10" s="514"/>
      <c r="V10" s="514"/>
      <c r="W10" s="514"/>
      <c r="X10" s="514"/>
      <c r="Y10" s="514"/>
      <c r="Z10" s="514"/>
      <c r="AA10" s="514"/>
      <c r="AB10" s="514"/>
      <c r="AC10" s="514"/>
      <c r="AD10" s="514"/>
      <c r="AE10" s="514"/>
      <c r="AF10" s="514"/>
      <c r="AG10" s="514"/>
      <c r="AH10" s="514"/>
      <c r="AI10" s="514"/>
      <c r="AJ10" s="514"/>
      <c r="AK10" s="514"/>
      <c r="AL10" s="514"/>
      <c r="AM10" s="514"/>
      <c r="AN10" s="514"/>
      <c r="AO10" s="514"/>
    </row>
    <row r="11" spans="1:41" ht="8" customHeight="1" x14ac:dyDescent="0.25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</row>
    <row r="12" spans="1:41" ht="14" customHeight="1" x14ac:dyDescent="0.25">
      <c r="A12" s="461" t="s">
        <v>359</v>
      </c>
      <c r="B12" s="461"/>
      <c r="C12" s="461"/>
      <c r="D12" s="461"/>
      <c r="E12" s="461"/>
      <c r="F12" s="461"/>
      <c r="G12" s="462" t="str">
        <f>IF('TRANS. COV.'!U44&lt;&gt;"",'TRANS. COV.'!U44,"")</f>
        <v>Hot Mix USA - BCJMF</v>
      </c>
      <c r="H12" s="463"/>
      <c r="I12" s="463"/>
      <c r="J12" s="463"/>
      <c r="K12" s="463"/>
      <c r="L12" s="463"/>
      <c r="M12" s="463"/>
      <c r="N12" s="463"/>
      <c r="O12" s="463"/>
      <c r="P12" s="463"/>
      <c r="Q12" s="463"/>
      <c r="R12" s="463"/>
      <c r="S12" s="464"/>
      <c r="T12" s="101"/>
      <c r="U12" s="101"/>
      <c r="V12" s="407" t="s">
        <v>305</v>
      </c>
      <c r="W12" s="407"/>
      <c r="X12" s="407"/>
      <c r="Y12" s="407"/>
      <c r="Z12" s="407"/>
      <c r="AA12" s="407"/>
      <c r="AB12" s="407"/>
      <c r="AC12" s="469" t="s">
        <v>335</v>
      </c>
      <c r="AD12" s="469"/>
      <c r="AE12" s="469"/>
      <c r="AF12" s="469"/>
      <c r="AG12" s="101"/>
      <c r="AH12" s="101"/>
      <c r="AI12" s="101"/>
      <c r="AJ12" s="101"/>
      <c r="AK12" s="101"/>
      <c r="AL12" s="113"/>
      <c r="AM12" s="120"/>
      <c r="AN12" s="101"/>
      <c r="AO12" s="101"/>
    </row>
    <row r="13" spans="1:41" ht="14" customHeight="1" x14ac:dyDescent="0.25">
      <c r="A13" s="461" t="s">
        <v>372</v>
      </c>
      <c r="B13" s="461"/>
      <c r="C13" s="461"/>
      <c r="D13" s="461"/>
      <c r="E13" s="461"/>
      <c r="F13" s="461"/>
      <c r="G13" s="465" t="str">
        <f>IF('TRANS. COV.'!U29&lt;&gt;"",'TRANS. COV.'!U29,"")</f>
        <v>24-5678</v>
      </c>
      <c r="H13" s="466"/>
      <c r="I13" s="466"/>
      <c r="J13" s="466"/>
      <c r="K13" s="466"/>
      <c r="L13" s="466"/>
      <c r="M13" s="466"/>
      <c r="N13" s="466"/>
      <c r="O13" s="466"/>
      <c r="P13" s="467"/>
      <c r="Q13" s="101"/>
      <c r="R13" s="101"/>
      <c r="S13" s="101"/>
      <c r="T13" s="101"/>
      <c r="U13" s="101"/>
      <c r="V13" s="407" t="s">
        <v>306</v>
      </c>
      <c r="W13" s="407"/>
      <c r="X13" s="407"/>
      <c r="Y13" s="407"/>
      <c r="Z13" s="407"/>
      <c r="AA13" s="407"/>
      <c r="AB13" s="407"/>
      <c r="AC13" s="469" t="s">
        <v>335</v>
      </c>
      <c r="AD13" s="469"/>
      <c r="AE13" s="469"/>
      <c r="AF13" s="469"/>
      <c r="AG13" s="124"/>
      <c r="AH13" s="125"/>
      <c r="AI13" s="125"/>
      <c r="AJ13" s="125"/>
      <c r="AK13" s="101"/>
      <c r="AL13" s="101"/>
      <c r="AM13" s="101"/>
      <c r="AN13" s="101"/>
      <c r="AO13" s="101"/>
    </row>
    <row r="14" spans="1:41" ht="14" customHeight="1" x14ac:dyDescent="0.25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</row>
    <row r="15" spans="1:41" ht="14" customHeight="1" x14ac:dyDescent="0.25">
      <c r="A15" s="461" t="s">
        <v>103</v>
      </c>
      <c r="B15" s="461"/>
      <c r="C15" s="461"/>
      <c r="D15" s="461"/>
      <c r="E15" s="461"/>
      <c r="F15" s="461"/>
      <c r="G15" s="513" t="str">
        <f>IF('TRANS. COV.'!U35&lt;&gt;"",'TRANS. COV.'!U35,"")</f>
        <v>301 Base</v>
      </c>
      <c r="H15" s="513"/>
      <c r="I15" s="513"/>
      <c r="J15" s="513"/>
      <c r="K15" s="513"/>
      <c r="L15" s="513"/>
      <c r="M15" s="513"/>
      <c r="N15" s="513"/>
      <c r="O15" s="513"/>
      <c r="P15" s="513"/>
      <c r="Q15" s="101"/>
      <c r="R15" s="101"/>
      <c r="S15" s="101"/>
      <c r="T15" s="101"/>
      <c r="U15" s="101"/>
      <c r="V15" s="468" t="s">
        <v>144</v>
      </c>
      <c r="W15" s="468"/>
      <c r="X15" s="468"/>
      <c r="Y15" s="468"/>
      <c r="Z15" s="468"/>
      <c r="AA15" s="468"/>
      <c r="AB15" s="468"/>
      <c r="AC15" s="468"/>
      <c r="AD15" s="468"/>
      <c r="AE15" s="468"/>
      <c r="AF15" s="470" t="s">
        <v>335</v>
      </c>
      <c r="AG15" s="470"/>
      <c r="AH15" s="470"/>
      <c r="AI15" s="470"/>
      <c r="AJ15" s="470"/>
      <c r="AK15" s="101"/>
      <c r="AL15" s="101"/>
      <c r="AM15" s="101"/>
      <c r="AN15" s="101"/>
      <c r="AO15" s="101"/>
    </row>
    <row r="16" spans="1:41" ht="14" customHeight="1" x14ac:dyDescent="0.25">
      <c r="A16" s="461" t="s">
        <v>135</v>
      </c>
      <c r="B16" s="461"/>
      <c r="C16" s="461"/>
      <c r="D16" s="461"/>
      <c r="E16" s="461"/>
      <c r="F16" s="461"/>
      <c r="G16" s="465" t="str">
        <f>IF('TRANS. COV.'!U36&lt;&gt;"",'TRANS. COV.'!U36,"")</f>
        <v>No</v>
      </c>
      <c r="H16" s="466"/>
      <c r="I16" s="466"/>
      <c r="J16" s="466"/>
      <c r="K16" s="467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468" t="s">
        <v>118</v>
      </c>
      <c r="W16" s="468"/>
      <c r="X16" s="468"/>
      <c r="Y16" s="468"/>
      <c r="Z16" s="468"/>
      <c r="AA16" s="468"/>
      <c r="AB16" s="468"/>
      <c r="AC16" s="468"/>
      <c r="AD16" s="468"/>
      <c r="AE16" s="468"/>
      <c r="AF16" s="470" t="s">
        <v>335</v>
      </c>
      <c r="AG16" s="470"/>
      <c r="AH16" s="470"/>
      <c r="AI16" s="470"/>
      <c r="AJ16" s="470"/>
      <c r="AK16" s="101"/>
      <c r="AL16" s="101"/>
      <c r="AM16" s="101"/>
      <c r="AN16" s="101"/>
      <c r="AO16" s="101"/>
    </row>
    <row r="17" spans="1:43" ht="14" customHeight="1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01"/>
      <c r="V17" s="468" t="s">
        <v>145</v>
      </c>
      <c r="W17" s="468"/>
      <c r="X17" s="468"/>
      <c r="Y17" s="468"/>
      <c r="Z17" s="468"/>
      <c r="AA17" s="468"/>
      <c r="AB17" s="468"/>
      <c r="AC17" s="468"/>
      <c r="AD17" s="468"/>
      <c r="AE17" s="468"/>
      <c r="AF17" s="470" t="s">
        <v>335</v>
      </c>
      <c r="AG17" s="470"/>
      <c r="AH17" s="470"/>
      <c r="AI17" s="470"/>
      <c r="AJ17" s="470"/>
      <c r="AK17" s="101"/>
      <c r="AL17" s="101"/>
      <c r="AM17" s="529"/>
      <c r="AN17" s="529"/>
      <c r="AO17" s="101"/>
    </row>
    <row r="18" spans="1:43" ht="14" customHeight="1" x14ac:dyDescent="0.25">
      <c r="A18" s="515" t="s">
        <v>351</v>
      </c>
      <c r="B18" s="516"/>
      <c r="C18" s="516"/>
      <c r="D18" s="516"/>
      <c r="E18" s="516"/>
      <c r="F18" s="517"/>
      <c r="G18" s="526">
        <v>19</v>
      </c>
      <c r="H18" s="526"/>
      <c r="I18" s="526"/>
      <c r="J18" s="526"/>
      <c r="K18" s="526"/>
      <c r="L18" s="120"/>
      <c r="M18" s="120"/>
      <c r="N18" s="120"/>
      <c r="O18" s="120"/>
      <c r="P18" s="120"/>
      <c r="Q18" s="120"/>
      <c r="R18" s="120"/>
      <c r="S18" s="120"/>
      <c r="T18" s="120"/>
      <c r="U18" s="101"/>
      <c r="V18" s="468" t="s">
        <v>147</v>
      </c>
      <c r="W18" s="468"/>
      <c r="X18" s="468"/>
      <c r="Y18" s="468"/>
      <c r="Z18" s="468"/>
      <c r="AA18" s="468"/>
      <c r="AB18" s="468"/>
      <c r="AC18" s="468"/>
      <c r="AD18" s="468"/>
      <c r="AE18" s="468"/>
      <c r="AF18" s="470" t="s">
        <v>335</v>
      </c>
      <c r="AG18" s="470"/>
      <c r="AH18" s="470"/>
      <c r="AI18" s="470"/>
      <c r="AJ18" s="470"/>
      <c r="AK18" s="101"/>
      <c r="AL18" s="101"/>
      <c r="AM18" s="101"/>
      <c r="AN18" s="101"/>
      <c r="AO18" s="101"/>
    </row>
    <row r="19" spans="1:43" ht="14" customHeight="1" x14ac:dyDescent="0.25">
      <c r="A19" s="518"/>
      <c r="B19" s="519"/>
      <c r="C19" s="519"/>
      <c r="D19" s="519"/>
      <c r="E19" s="519"/>
      <c r="F19" s="520"/>
      <c r="G19" s="526"/>
      <c r="H19" s="526"/>
      <c r="I19" s="526"/>
      <c r="J19" s="526"/>
      <c r="K19" s="526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468" t="s">
        <v>148</v>
      </c>
      <c r="W19" s="468"/>
      <c r="X19" s="468"/>
      <c r="Y19" s="468"/>
      <c r="Z19" s="468"/>
      <c r="AA19" s="468"/>
      <c r="AB19" s="468"/>
      <c r="AC19" s="468"/>
      <c r="AD19" s="468"/>
      <c r="AE19" s="468"/>
      <c r="AF19" s="470" t="s">
        <v>335</v>
      </c>
      <c r="AG19" s="470"/>
      <c r="AH19" s="470"/>
      <c r="AI19" s="470"/>
      <c r="AJ19" s="470"/>
      <c r="AK19" s="101"/>
      <c r="AL19" s="101"/>
      <c r="AM19" s="101"/>
      <c r="AN19" s="101"/>
      <c r="AO19" s="101"/>
      <c r="AQ19" s="127"/>
    </row>
    <row r="20" spans="1:43" ht="14" customHeight="1" x14ac:dyDescent="0.25">
      <c r="A20" s="521"/>
      <c r="B20" s="522"/>
      <c r="C20" s="522"/>
      <c r="D20" s="522"/>
      <c r="E20" s="522"/>
      <c r="F20" s="523"/>
      <c r="G20" s="526"/>
      <c r="H20" s="526"/>
      <c r="I20" s="526"/>
      <c r="J20" s="526"/>
      <c r="K20" s="526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468" t="s">
        <v>149</v>
      </c>
      <c r="W20" s="468"/>
      <c r="X20" s="468"/>
      <c r="Y20" s="468"/>
      <c r="Z20" s="468"/>
      <c r="AA20" s="468"/>
      <c r="AB20" s="468"/>
      <c r="AC20" s="468"/>
      <c r="AD20" s="468"/>
      <c r="AE20" s="468"/>
      <c r="AF20" s="470" t="s">
        <v>335</v>
      </c>
      <c r="AG20" s="470"/>
      <c r="AH20" s="470"/>
      <c r="AI20" s="470"/>
      <c r="AJ20" s="470"/>
      <c r="AK20" s="101"/>
      <c r="AL20" s="101"/>
      <c r="AM20" s="101"/>
      <c r="AN20" s="101"/>
      <c r="AO20" s="101"/>
      <c r="AQ20" s="127"/>
    </row>
    <row r="21" spans="1:43" ht="14" customHeight="1" x14ac:dyDescent="0.2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20"/>
      <c r="R21" s="101"/>
      <c r="S21" s="101"/>
      <c r="T21" s="101"/>
      <c r="U21" s="101"/>
      <c r="V21" s="468" t="s">
        <v>146</v>
      </c>
      <c r="W21" s="468"/>
      <c r="X21" s="468"/>
      <c r="Y21" s="468"/>
      <c r="Z21" s="468"/>
      <c r="AA21" s="468"/>
      <c r="AB21" s="468"/>
      <c r="AC21" s="468"/>
      <c r="AD21" s="468"/>
      <c r="AE21" s="468"/>
      <c r="AF21" s="471">
        <v>2</v>
      </c>
      <c r="AG21" s="471"/>
      <c r="AH21" s="471"/>
      <c r="AI21" s="471"/>
      <c r="AJ21" s="471"/>
      <c r="AK21" s="101" t="s">
        <v>343</v>
      </c>
      <c r="AL21" s="101"/>
      <c r="AM21" s="101"/>
      <c r="AN21" s="101"/>
      <c r="AO21" s="101"/>
    </row>
    <row r="22" spans="1:43" ht="14" customHeight="1" x14ac:dyDescent="0.25">
      <c r="A22" s="407" t="s">
        <v>1973</v>
      </c>
      <c r="B22" s="407"/>
      <c r="C22" s="407"/>
      <c r="D22" s="407"/>
      <c r="E22" s="407"/>
      <c r="F22" s="407"/>
      <c r="G22" s="530">
        <v>2023</v>
      </c>
      <c r="H22" s="531"/>
      <c r="I22" s="531"/>
      <c r="J22" s="531"/>
      <c r="K22" s="532"/>
      <c r="L22" s="120"/>
      <c r="M22" s="120"/>
      <c r="N22" s="120"/>
      <c r="O22" s="120"/>
      <c r="P22" s="120"/>
      <c r="Q22" s="120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3" ht="14" customHeight="1" x14ac:dyDescent="0.25">
      <c r="A23" s="407" t="s">
        <v>116</v>
      </c>
      <c r="B23" s="407"/>
      <c r="C23" s="407"/>
      <c r="D23" s="407"/>
      <c r="E23" s="407"/>
      <c r="F23" s="407"/>
      <c r="G23" s="500">
        <v>45128</v>
      </c>
      <c r="H23" s="501"/>
      <c r="I23" s="501"/>
      <c r="J23" s="501"/>
      <c r="K23" s="502"/>
      <c r="L23" s="120"/>
      <c r="M23" s="120"/>
      <c r="N23" s="120"/>
      <c r="O23" s="120"/>
      <c r="P23" s="120"/>
      <c r="Q23" s="120"/>
      <c r="R23" s="120"/>
      <c r="S23" s="120"/>
      <c r="T23" s="120"/>
      <c r="U23" s="101"/>
      <c r="V23" s="407" t="s">
        <v>82</v>
      </c>
      <c r="W23" s="407"/>
      <c r="X23" s="407"/>
      <c r="Y23" s="407"/>
      <c r="Z23" s="407"/>
      <c r="AA23" s="407"/>
      <c r="AB23" s="407"/>
      <c r="AC23" s="407"/>
      <c r="AD23" s="407"/>
      <c r="AE23" s="407"/>
      <c r="AF23" s="490" t="s">
        <v>335</v>
      </c>
      <c r="AG23" s="490"/>
      <c r="AH23" s="490"/>
      <c r="AI23" s="490"/>
      <c r="AJ23" s="101"/>
      <c r="AK23" s="101"/>
      <c r="AL23" s="101"/>
      <c r="AM23" s="101"/>
      <c r="AN23" s="101"/>
      <c r="AO23" s="101"/>
    </row>
    <row r="24" spans="1:43" ht="14" customHeigh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01"/>
      <c r="V24" s="101"/>
      <c r="W24" s="101"/>
      <c r="X24" s="457" t="s">
        <v>1807</v>
      </c>
      <c r="Y24" s="458"/>
      <c r="Z24" s="458"/>
      <c r="AA24" s="458"/>
      <c r="AB24" s="458"/>
      <c r="AC24" s="458"/>
      <c r="AD24" s="458"/>
      <c r="AE24" s="458"/>
      <c r="AF24" s="458"/>
      <c r="AG24" s="458"/>
      <c r="AH24" s="459"/>
      <c r="AI24" s="471" t="s">
        <v>335</v>
      </c>
      <c r="AJ24" s="471"/>
      <c r="AK24" s="471"/>
      <c r="AL24" s="471"/>
      <c r="AM24" s="101"/>
      <c r="AN24" s="101"/>
      <c r="AO24" s="101"/>
    </row>
    <row r="25" spans="1:43" ht="14" customHeight="1" x14ac:dyDescent="0.25">
      <c r="A25" s="407" t="s">
        <v>119</v>
      </c>
      <c r="B25" s="407"/>
      <c r="C25" s="407"/>
      <c r="D25" s="407"/>
      <c r="E25" s="407"/>
      <c r="F25" s="407"/>
      <c r="G25" s="407"/>
      <c r="H25" s="407"/>
      <c r="I25" s="491" t="s">
        <v>335</v>
      </c>
      <c r="J25" s="492"/>
      <c r="K25" s="492"/>
      <c r="L25" s="492"/>
      <c r="M25" s="493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457" t="s">
        <v>1808</v>
      </c>
      <c r="Y25" s="458"/>
      <c r="Z25" s="458"/>
      <c r="AA25" s="458"/>
      <c r="AB25" s="458"/>
      <c r="AC25" s="458"/>
      <c r="AD25" s="458"/>
      <c r="AE25" s="458"/>
      <c r="AF25" s="458"/>
      <c r="AG25" s="458"/>
      <c r="AH25" s="459"/>
      <c r="AI25" s="490" t="s">
        <v>335</v>
      </c>
      <c r="AJ25" s="490"/>
      <c r="AK25" s="490"/>
      <c r="AL25" s="490"/>
      <c r="AM25" s="101"/>
      <c r="AN25" s="101"/>
      <c r="AO25" s="101"/>
    </row>
    <row r="26" spans="1:43" ht="14" customHeight="1" x14ac:dyDescent="0.25">
      <c r="A26" s="407" t="s">
        <v>373</v>
      </c>
      <c r="B26" s="407"/>
      <c r="C26" s="407"/>
      <c r="D26" s="407"/>
      <c r="E26" s="407"/>
      <c r="F26" s="407"/>
      <c r="G26" s="407"/>
      <c r="H26" s="407"/>
      <c r="I26" s="506" t="s">
        <v>335</v>
      </c>
      <c r="J26" s="507"/>
      <c r="K26" s="507"/>
      <c r="L26" s="507"/>
      <c r="M26" s="508"/>
      <c r="N26" s="101"/>
      <c r="O26" s="101"/>
      <c r="P26" s="101"/>
      <c r="Q26" s="101"/>
      <c r="R26" s="101"/>
      <c r="S26" s="101"/>
      <c r="T26" s="101"/>
      <c r="U26" s="101"/>
      <c r="V26" s="407" t="s">
        <v>83</v>
      </c>
      <c r="W26" s="407"/>
      <c r="X26" s="407"/>
      <c r="Y26" s="407"/>
      <c r="Z26" s="407"/>
      <c r="AA26" s="407"/>
      <c r="AB26" s="407"/>
      <c r="AC26" s="407"/>
      <c r="AD26" s="407"/>
      <c r="AE26" s="407"/>
      <c r="AF26" s="490" t="s">
        <v>335</v>
      </c>
      <c r="AG26" s="490"/>
      <c r="AH26" s="490"/>
      <c r="AI26" s="490"/>
      <c r="AJ26" s="124"/>
      <c r="AK26" s="125"/>
      <c r="AL26" s="125"/>
      <c r="AM26" s="125"/>
      <c r="AN26" s="101"/>
      <c r="AO26" s="101"/>
      <c r="AQ26" s="128"/>
    </row>
    <row r="27" spans="1:43" ht="14" customHeight="1" x14ac:dyDescent="0.25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Q27" s="127"/>
    </row>
    <row r="28" spans="1:43" ht="14" customHeight="1" x14ac:dyDescent="0.25">
      <c r="A28" s="407" t="s">
        <v>1970</v>
      </c>
      <c r="B28" s="407"/>
      <c r="C28" s="407"/>
      <c r="D28" s="407"/>
      <c r="E28" s="407"/>
      <c r="F28" s="407"/>
      <c r="G28" s="407"/>
      <c r="H28" s="407"/>
      <c r="I28" s="407"/>
      <c r="J28" s="407"/>
      <c r="K28" s="407"/>
      <c r="L28" s="509">
        <v>5</v>
      </c>
      <c r="M28" s="509"/>
      <c r="N28" s="509"/>
      <c r="O28" s="509"/>
      <c r="P28" s="509"/>
      <c r="Q28" s="101"/>
      <c r="R28" s="101"/>
      <c r="S28" s="101"/>
      <c r="T28" s="101"/>
      <c r="U28" s="101"/>
      <c r="V28" s="457" t="s">
        <v>1971</v>
      </c>
      <c r="W28" s="458"/>
      <c r="X28" s="458"/>
      <c r="Y28" s="458"/>
      <c r="Z28" s="458"/>
      <c r="AA28" s="458"/>
      <c r="AB28" s="458"/>
      <c r="AC28" s="458"/>
      <c r="AD28" s="527">
        <v>300</v>
      </c>
      <c r="AE28" s="527"/>
      <c r="AF28" s="527"/>
      <c r="AG28" s="527"/>
      <c r="AH28" s="101" t="s">
        <v>47</v>
      </c>
      <c r="AI28" s="101"/>
      <c r="AJ28" s="101"/>
      <c r="AK28" s="101"/>
      <c r="AL28" s="101"/>
      <c r="AM28" s="101"/>
      <c r="AN28" s="101"/>
      <c r="AO28" s="101"/>
    </row>
    <row r="29" spans="1:43" ht="14" customHeight="1" x14ac:dyDescent="0.25">
      <c r="A29" s="407" t="s">
        <v>117</v>
      </c>
      <c r="B29" s="407"/>
      <c r="C29" s="407"/>
      <c r="D29" s="407"/>
      <c r="E29" s="407"/>
      <c r="F29" s="407"/>
      <c r="G29" s="407"/>
      <c r="H29" s="407"/>
      <c r="I29" s="407"/>
      <c r="J29" s="503">
        <f>ROUND((('JMF SHEET PG 2'!A34*'JMF SHEET PG 2'!D34+'JMF SHEET PG 2'!A35*'JMF SHEET PG 2'!D35+'JMF SHEET PG 2'!A36*'JMF SHEET PG 2'!D36)/100),1)</f>
        <v>1.9</v>
      </c>
      <c r="K29" s="504"/>
      <c r="L29" s="504"/>
      <c r="M29" s="504"/>
      <c r="N29" s="505"/>
      <c r="O29" s="101"/>
      <c r="P29" s="101"/>
      <c r="Q29" s="101"/>
      <c r="R29" s="101"/>
      <c r="S29" s="101"/>
      <c r="T29" s="101"/>
      <c r="U29" s="101"/>
      <c r="V29" s="457" t="s">
        <v>1972</v>
      </c>
      <c r="W29" s="458"/>
      <c r="X29" s="458"/>
      <c r="Y29" s="458"/>
      <c r="Z29" s="458"/>
      <c r="AA29" s="458"/>
      <c r="AB29" s="458"/>
      <c r="AC29" s="458"/>
      <c r="AD29" s="527">
        <v>275</v>
      </c>
      <c r="AE29" s="527"/>
      <c r="AF29" s="527"/>
      <c r="AG29" s="527"/>
      <c r="AH29" s="101" t="s">
        <v>47</v>
      </c>
      <c r="AI29" s="101"/>
      <c r="AJ29" s="101"/>
      <c r="AK29" s="101"/>
      <c r="AL29" s="101"/>
      <c r="AM29" s="101"/>
      <c r="AN29" s="101"/>
      <c r="AO29" s="101"/>
      <c r="AQ29" s="117"/>
    </row>
    <row r="30" spans="1:43" ht="14" customHeight="1" x14ac:dyDescent="0.25">
      <c r="A30" s="407" t="s">
        <v>81</v>
      </c>
      <c r="B30" s="407"/>
      <c r="C30" s="407"/>
      <c r="D30" s="407"/>
      <c r="E30" s="407"/>
      <c r="F30" s="407"/>
      <c r="G30" s="407"/>
      <c r="H30" s="407"/>
      <c r="I30" s="407"/>
      <c r="J30" s="497">
        <f>(L28-J29)</f>
        <v>3.1</v>
      </c>
      <c r="K30" s="498"/>
      <c r="L30" s="498"/>
      <c r="M30" s="498"/>
      <c r="N30" s="499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3" ht="14" customHeight="1" x14ac:dyDescent="0.25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11"/>
      <c r="S31" s="101"/>
      <c r="T31" s="101"/>
      <c r="U31" s="101"/>
      <c r="V31" s="120" t="s">
        <v>375</v>
      </c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524" t="s">
        <v>71</v>
      </c>
      <c r="AH31" s="524"/>
      <c r="AI31" s="524"/>
      <c r="AJ31" s="524"/>
      <c r="AK31" s="524"/>
      <c r="AL31" s="120"/>
      <c r="AM31" s="120"/>
      <c r="AN31" s="101"/>
      <c r="AO31" s="101"/>
    </row>
    <row r="32" spans="1:43" ht="14" customHeight="1" x14ac:dyDescent="0.25">
      <c r="A32" s="407" t="s">
        <v>80</v>
      </c>
      <c r="B32" s="407"/>
      <c r="C32" s="407"/>
      <c r="D32" s="407"/>
      <c r="E32" s="407"/>
      <c r="F32" s="407"/>
      <c r="G32" s="407"/>
      <c r="H32" s="407"/>
      <c r="I32" s="525" t="s">
        <v>2070</v>
      </c>
      <c r="J32" s="525"/>
      <c r="K32" s="525"/>
      <c r="L32" s="525"/>
      <c r="M32" s="525"/>
      <c r="N32" s="525"/>
      <c r="O32" s="101"/>
      <c r="P32" s="101"/>
      <c r="Q32" s="101"/>
      <c r="R32" s="101"/>
      <c r="S32" s="101"/>
      <c r="T32" s="101"/>
      <c r="U32" s="101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01"/>
      <c r="AO32" s="101"/>
    </row>
    <row r="33" spans="1:41" ht="14" customHeight="1" x14ac:dyDescent="0.25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407" t="s">
        <v>1253</v>
      </c>
      <c r="W33" s="407"/>
      <c r="X33" s="407"/>
      <c r="Y33" s="407"/>
      <c r="Z33" s="407"/>
      <c r="AA33" s="407"/>
      <c r="AB33" s="407"/>
      <c r="AC33" s="407"/>
      <c r="AD33" s="407"/>
      <c r="AE33" s="536"/>
      <c r="AF33" s="536"/>
      <c r="AG33" s="536"/>
      <c r="AH33" s="536"/>
      <c r="AI33" s="536"/>
      <c r="AJ33" s="536"/>
      <c r="AK33" s="536"/>
      <c r="AL33" s="536"/>
      <c r="AM33" s="536"/>
      <c r="AN33" s="536"/>
      <c r="AO33" s="101"/>
    </row>
    <row r="34" spans="1:41" ht="14" customHeight="1" x14ac:dyDescent="0.25">
      <c r="A34" s="457" t="s">
        <v>1809</v>
      </c>
      <c r="B34" s="458"/>
      <c r="C34" s="458"/>
      <c r="D34" s="458"/>
      <c r="E34" s="458"/>
      <c r="F34" s="458"/>
      <c r="G34" s="458"/>
      <c r="H34" s="458"/>
      <c r="I34" s="458"/>
      <c r="J34" s="459"/>
      <c r="K34" s="525" t="s">
        <v>156</v>
      </c>
      <c r="L34" s="525"/>
      <c r="M34" s="525"/>
      <c r="N34" s="525"/>
      <c r="O34" s="525"/>
      <c r="P34" s="525"/>
      <c r="Q34" s="525"/>
      <c r="R34" s="525"/>
      <c r="S34" s="101"/>
      <c r="T34" s="101"/>
      <c r="U34" s="101"/>
      <c r="V34" s="407" t="s">
        <v>376</v>
      </c>
      <c r="W34" s="407"/>
      <c r="X34" s="407"/>
      <c r="Y34" s="407"/>
      <c r="Z34" s="407"/>
      <c r="AA34" s="407"/>
      <c r="AB34" s="510"/>
      <c r="AC34" s="510"/>
      <c r="AD34" s="510"/>
      <c r="AE34" s="510"/>
      <c r="AF34" s="510"/>
      <c r="AG34" s="510"/>
      <c r="AH34" s="510"/>
      <c r="AI34" s="510"/>
      <c r="AJ34" s="510"/>
      <c r="AK34" s="510"/>
      <c r="AL34" s="120"/>
      <c r="AM34" s="120"/>
      <c r="AN34" s="101"/>
      <c r="AO34" s="101"/>
    </row>
    <row r="35" spans="1:41" ht="14" customHeight="1" x14ac:dyDescent="0.25">
      <c r="A35" s="407" t="s">
        <v>1800</v>
      </c>
      <c r="B35" s="407"/>
      <c r="C35" s="407"/>
      <c r="D35" s="407"/>
      <c r="E35" s="407"/>
      <c r="F35" s="407"/>
      <c r="G35" s="407"/>
      <c r="H35" s="496" t="s">
        <v>2080</v>
      </c>
      <c r="I35" s="496"/>
      <c r="J35" s="496"/>
      <c r="K35" s="496"/>
      <c r="L35" s="496"/>
      <c r="M35" s="496"/>
      <c r="N35" s="496"/>
      <c r="O35" s="496"/>
      <c r="P35" s="496"/>
      <c r="Q35" s="496"/>
      <c r="R35" s="496"/>
      <c r="S35" s="496"/>
      <c r="T35" s="496"/>
      <c r="U35" s="101"/>
      <c r="V35" s="407" t="s">
        <v>298</v>
      </c>
      <c r="W35" s="407"/>
      <c r="X35" s="407"/>
      <c r="Y35" s="407"/>
      <c r="Z35" s="407"/>
      <c r="AA35" s="407"/>
      <c r="AB35" s="510"/>
      <c r="AC35" s="510"/>
      <c r="AD35" s="510"/>
      <c r="AE35" s="510"/>
      <c r="AF35" s="510"/>
      <c r="AG35" s="510"/>
      <c r="AH35" s="510"/>
      <c r="AI35" s="510"/>
      <c r="AJ35" s="510"/>
      <c r="AK35" s="510"/>
      <c r="AL35" s="120"/>
      <c r="AM35" s="120"/>
      <c r="AN35" s="101"/>
      <c r="AO35" s="101"/>
    </row>
    <row r="36" spans="1:41" ht="14" customHeight="1" x14ac:dyDescent="0.25">
      <c r="A36" s="407" t="s">
        <v>1801</v>
      </c>
      <c r="B36" s="407"/>
      <c r="C36" s="407"/>
      <c r="D36" s="407"/>
      <c r="E36" s="407"/>
      <c r="F36" s="407"/>
      <c r="G36" s="407"/>
      <c r="H36" s="407"/>
      <c r="I36" s="481" t="str">
        <f>IFERROR(VLOOKUP(H35,'Binder Sources'!$A$2:$B$1000,2,FALSE),"")</f>
        <v>22092-01</v>
      </c>
      <c r="J36" s="481"/>
      <c r="K36" s="481"/>
      <c r="L36" s="481"/>
      <c r="M36" s="481"/>
      <c r="N36" s="101"/>
      <c r="O36" s="101"/>
      <c r="P36" s="101"/>
      <c r="Q36" s="101"/>
      <c r="R36" s="101"/>
      <c r="S36" s="101"/>
      <c r="T36" s="101"/>
      <c r="U36" s="101"/>
      <c r="V36" s="407" t="s">
        <v>377</v>
      </c>
      <c r="W36" s="407"/>
      <c r="X36" s="407"/>
      <c r="Y36" s="407"/>
      <c r="Z36" s="407"/>
      <c r="AA36" s="407"/>
      <c r="AB36" s="483"/>
      <c r="AC36" s="483"/>
      <c r="AD36" s="483"/>
      <c r="AE36" s="483"/>
      <c r="AF36" s="120" t="str">
        <f>IF(AE33="Hydrated lime"," % by dry wt. of aggregates"," % by wt. of total binder")</f>
        <v xml:space="preserve"> % by wt. of total binder</v>
      </c>
      <c r="AG36" s="129"/>
      <c r="AH36" s="120"/>
      <c r="AI36" s="120"/>
      <c r="AJ36" s="120"/>
      <c r="AK36" s="120"/>
      <c r="AL36" s="120"/>
      <c r="AM36" s="120"/>
      <c r="AN36" s="101"/>
      <c r="AO36" s="101"/>
    </row>
    <row r="37" spans="1:41" ht="14" customHeight="1" x14ac:dyDescent="0.25">
      <c r="A37" s="407" t="s">
        <v>2064</v>
      </c>
      <c r="B37" s="407"/>
      <c r="C37" s="407"/>
      <c r="D37" s="407"/>
      <c r="E37" s="407"/>
      <c r="F37" s="407"/>
      <c r="G37" s="407"/>
      <c r="H37" s="407"/>
      <c r="I37" s="489">
        <v>1.026</v>
      </c>
      <c r="J37" s="489"/>
      <c r="K37" s="489"/>
      <c r="L37" s="489"/>
      <c r="M37" s="489"/>
      <c r="N37" s="101"/>
      <c r="O37" s="101"/>
      <c r="P37" s="101"/>
      <c r="Q37" s="101"/>
      <c r="R37" s="101"/>
      <c r="S37" s="101"/>
      <c r="T37" s="101"/>
      <c r="U37" s="101"/>
      <c r="V37" s="407" t="s">
        <v>377</v>
      </c>
      <c r="W37" s="407"/>
      <c r="X37" s="407"/>
      <c r="Y37" s="407"/>
      <c r="Z37" s="407"/>
      <c r="AA37" s="407"/>
      <c r="AB37" s="484" t="str">
        <f>IF(AE33="Hydrated lime","",IF(AND(L28&gt;0,AB36&gt;0),ROUND(AB36*L28/J30,2),""))</f>
        <v/>
      </c>
      <c r="AC37" s="484"/>
      <c r="AD37" s="484"/>
      <c r="AE37" s="484"/>
      <c r="AF37" s="120" t="str">
        <f>IF(AE33="Hydrated lime"," not needed"," % by wt. of virgin binder")</f>
        <v xml:space="preserve"> % by wt. of virgin binder</v>
      </c>
      <c r="AG37" s="120"/>
      <c r="AH37" s="120"/>
      <c r="AI37" s="120"/>
      <c r="AJ37" s="120"/>
      <c r="AK37" s="120"/>
      <c r="AL37" s="120"/>
      <c r="AM37" s="120"/>
      <c r="AN37" s="101"/>
      <c r="AO37" s="101"/>
    </row>
    <row r="38" spans="1:41" ht="14" customHeight="1" x14ac:dyDescent="0.25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01"/>
      <c r="AO38" s="101"/>
    </row>
    <row r="39" spans="1:41" ht="14" customHeight="1" x14ac:dyDescent="0.25">
      <c r="A39" s="108"/>
      <c r="B39" s="105"/>
      <c r="C39" s="101"/>
      <c r="D39" s="101"/>
      <c r="E39" s="101"/>
      <c r="F39" s="101"/>
      <c r="G39" s="101"/>
      <c r="H39" s="101"/>
      <c r="I39" s="485" t="s">
        <v>79</v>
      </c>
      <c r="J39" s="485"/>
      <c r="K39" s="485"/>
      <c r="L39" s="485"/>
      <c r="M39" s="485"/>
      <c r="N39" s="485"/>
      <c r="O39" s="485"/>
      <c r="P39" s="485"/>
      <c r="Q39" s="101"/>
      <c r="R39" s="101"/>
      <c r="S39" s="101"/>
      <c r="T39" s="101"/>
      <c r="U39" s="101"/>
      <c r="V39" s="101" t="s">
        <v>360</v>
      </c>
      <c r="W39" s="101"/>
      <c r="X39" s="101"/>
      <c r="Y39" s="101"/>
      <c r="Z39" s="101"/>
      <c r="AA39" s="101"/>
      <c r="AB39" s="101"/>
      <c r="AC39" s="101"/>
      <c r="AD39" s="101"/>
      <c r="AE39" s="101"/>
      <c r="AF39" s="524" t="s">
        <v>71</v>
      </c>
      <c r="AG39" s="524"/>
      <c r="AH39" s="524"/>
      <c r="AI39" s="524"/>
      <c r="AJ39" s="524"/>
      <c r="AK39" s="101"/>
      <c r="AL39" s="101"/>
      <c r="AM39" s="101"/>
      <c r="AN39" s="101"/>
      <c r="AO39" s="101"/>
    </row>
    <row r="40" spans="1:41" ht="14" customHeight="1" thickBot="1" x14ac:dyDescent="0.3">
      <c r="A40" s="486" t="s">
        <v>8</v>
      </c>
      <c r="B40" s="486"/>
      <c r="C40" s="486"/>
      <c r="D40" s="486"/>
      <c r="E40" s="486" t="s">
        <v>59</v>
      </c>
      <c r="F40" s="486"/>
      <c r="G40" s="486"/>
      <c r="H40" s="486"/>
      <c r="I40" s="486" t="s">
        <v>57</v>
      </c>
      <c r="J40" s="486"/>
      <c r="K40" s="486"/>
      <c r="L40" s="486"/>
      <c r="M40" s="486" t="s">
        <v>58</v>
      </c>
      <c r="N40" s="486"/>
      <c r="O40" s="486"/>
      <c r="P40" s="486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</row>
    <row r="41" spans="1:41" ht="14" customHeight="1" thickTop="1" x14ac:dyDescent="0.25">
      <c r="A41" s="512" t="s">
        <v>86</v>
      </c>
      <c r="B41" s="512"/>
      <c r="C41" s="512"/>
      <c r="D41" s="512"/>
      <c r="E41" s="528">
        <f>'AGG BLEND'!AC24</f>
        <v>100</v>
      </c>
      <c r="F41" s="528"/>
      <c r="G41" s="528"/>
      <c r="H41" s="528"/>
      <c r="I41" s="482">
        <f>'AGG BLEND'!AE24</f>
        <v>100</v>
      </c>
      <c r="J41" s="482"/>
      <c r="K41" s="482"/>
      <c r="L41" s="482"/>
      <c r="M41" s="482">
        <f>'AGG BLEND'!AG24</f>
        <v>100</v>
      </c>
      <c r="N41" s="482"/>
      <c r="O41" s="482"/>
      <c r="P41" s="482"/>
      <c r="Q41" s="101"/>
      <c r="R41" s="101"/>
      <c r="S41" s="101"/>
      <c r="T41" s="101"/>
      <c r="U41" s="101"/>
      <c r="V41" s="461" t="s">
        <v>338</v>
      </c>
      <c r="W41" s="461"/>
      <c r="X41" s="461"/>
      <c r="Y41" s="461"/>
      <c r="Z41" s="461"/>
      <c r="AA41" s="461"/>
      <c r="AB41" s="461"/>
      <c r="AC41" s="461"/>
      <c r="AD41" s="496"/>
      <c r="AE41" s="496"/>
      <c r="AF41" s="496"/>
      <c r="AG41" s="496"/>
      <c r="AH41" s="496"/>
      <c r="AI41" s="496"/>
      <c r="AJ41" s="496"/>
      <c r="AK41" s="496"/>
      <c r="AL41" s="101"/>
      <c r="AM41" s="101"/>
      <c r="AN41" s="101"/>
      <c r="AO41" s="101"/>
    </row>
    <row r="42" spans="1:41" ht="14" customHeight="1" x14ac:dyDescent="0.25">
      <c r="A42" s="487" t="s">
        <v>87</v>
      </c>
      <c r="B42" s="487"/>
      <c r="C42" s="487"/>
      <c r="D42" s="487"/>
      <c r="E42" s="488">
        <f>'AGG BLEND'!AC25</f>
        <v>100</v>
      </c>
      <c r="F42" s="488"/>
      <c r="G42" s="488"/>
      <c r="H42" s="488"/>
      <c r="I42" s="472" t="str">
        <f>'AGG BLEND'!AE25</f>
        <v/>
      </c>
      <c r="J42" s="472"/>
      <c r="K42" s="472"/>
      <c r="L42" s="472"/>
      <c r="M42" s="472" t="str">
        <f>'AGG BLEND'!AG25</f>
        <v/>
      </c>
      <c r="N42" s="472"/>
      <c r="O42" s="472"/>
      <c r="P42" s="472"/>
      <c r="Q42" s="101"/>
      <c r="R42" s="101"/>
      <c r="S42" s="101"/>
      <c r="T42" s="101"/>
      <c r="U42" s="101"/>
      <c r="V42" s="461" t="s">
        <v>337</v>
      </c>
      <c r="W42" s="461"/>
      <c r="X42" s="461"/>
      <c r="Y42" s="461"/>
      <c r="Z42" s="461"/>
      <c r="AA42" s="461"/>
      <c r="AB42" s="477" t="str">
        <f>IFERROR(VLOOKUP(AD41,'Fibers Sources'!$A$2:$E$1000,3,FALSE),"")</f>
        <v/>
      </c>
      <c r="AC42" s="478"/>
      <c r="AD42" s="479"/>
      <c r="AE42" s="479"/>
      <c r="AF42" s="479"/>
      <c r="AG42" s="479"/>
      <c r="AH42" s="479"/>
      <c r="AI42" s="480"/>
      <c r="AJ42" s="101"/>
      <c r="AK42" s="101"/>
      <c r="AL42" s="101"/>
      <c r="AM42" s="101"/>
      <c r="AN42" s="101"/>
      <c r="AO42" s="101"/>
    </row>
    <row r="43" spans="1:41" ht="14" customHeight="1" x14ac:dyDescent="0.25">
      <c r="A43" s="487" t="s">
        <v>36</v>
      </c>
      <c r="B43" s="487"/>
      <c r="C43" s="487"/>
      <c r="D43" s="487"/>
      <c r="E43" s="488">
        <f>'AGG BLEND'!AC26</f>
        <v>100</v>
      </c>
      <c r="F43" s="488"/>
      <c r="G43" s="488"/>
      <c r="H43" s="488"/>
      <c r="I43" s="472">
        <f>'AGG BLEND'!AE26</f>
        <v>75</v>
      </c>
      <c r="J43" s="472"/>
      <c r="K43" s="472"/>
      <c r="L43" s="472"/>
      <c r="M43" s="472">
        <f>'AGG BLEND'!AG26</f>
        <v>100</v>
      </c>
      <c r="N43" s="472"/>
      <c r="O43" s="472"/>
      <c r="P43" s="472"/>
      <c r="Q43" s="101"/>
      <c r="R43" s="101"/>
      <c r="S43" s="101"/>
      <c r="T43" s="101"/>
      <c r="U43" s="101"/>
      <c r="V43" s="494" t="s">
        <v>376</v>
      </c>
      <c r="W43" s="495"/>
      <c r="X43" s="495"/>
      <c r="Y43" s="495"/>
      <c r="Z43" s="495"/>
      <c r="AA43" s="495"/>
      <c r="AB43" s="474" t="str">
        <f>IFERROR(VLOOKUP(AD41,'Fibers Sources'!$A$2:$E$1000,4,FALSE),"")</f>
        <v/>
      </c>
      <c r="AC43" s="475"/>
      <c r="AD43" s="475"/>
      <c r="AE43" s="475"/>
      <c r="AF43" s="475"/>
      <c r="AG43" s="475"/>
      <c r="AH43" s="475"/>
      <c r="AI43" s="475"/>
      <c r="AJ43" s="475"/>
      <c r="AK43" s="476"/>
      <c r="AL43" s="101"/>
      <c r="AM43" s="101"/>
      <c r="AN43" s="101"/>
      <c r="AO43" s="101"/>
    </row>
    <row r="44" spans="1:41" ht="14" customHeight="1" x14ac:dyDescent="0.25">
      <c r="A44" s="487" t="s">
        <v>37</v>
      </c>
      <c r="B44" s="487"/>
      <c r="C44" s="487"/>
      <c r="D44" s="487"/>
      <c r="E44" s="488">
        <f>'AGG BLEND'!AC27</f>
        <v>96.1</v>
      </c>
      <c r="F44" s="488"/>
      <c r="G44" s="488"/>
      <c r="H44" s="488"/>
      <c r="I44" s="472" t="str">
        <f>'AGG BLEND'!AE27</f>
        <v/>
      </c>
      <c r="J44" s="472"/>
      <c r="K44" s="472"/>
      <c r="L44" s="472"/>
      <c r="M44" s="472" t="str">
        <f>'AGG BLEND'!AG27</f>
        <v/>
      </c>
      <c r="N44" s="472"/>
      <c r="O44" s="472"/>
      <c r="P44" s="472"/>
      <c r="Q44" s="101"/>
      <c r="R44" s="101"/>
      <c r="S44" s="101"/>
      <c r="T44" s="101"/>
      <c r="U44" s="101"/>
      <c r="V44" s="494" t="s">
        <v>1902</v>
      </c>
      <c r="W44" s="495"/>
      <c r="X44" s="495"/>
      <c r="Y44" s="495"/>
      <c r="Z44" s="495"/>
      <c r="AA44" s="495"/>
      <c r="AB44" s="481" t="str">
        <f>IFERROR(VLOOKUP(AD41,'Fibers Sources'!$A$2:$E$1000,5,FALSE),"")</f>
        <v/>
      </c>
      <c r="AC44" s="481"/>
      <c r="AD44" s="481"/>
      <c r="AE44" s="481"/>
      <c r="AF44" s="481"/>
      <c r="AG44" s="481"/>
      <c r="AH44" s="111"/>
      <c r="AI44" s="111"/>
      <c r="AJ44" s="101"/>
      <c r="AK44" s="101"/>
      <c r="AL44" s="101"/>
      <c r="AM44" s="101"/>
      <c r="AN44" s="101"/>
      <c r="AO44" s="101"/>
    </row>
    <row r="45" spans="1:41" ht="14" customHeight="1" x14ac:dyDescent="0.25">
      <c r="A45" s="487" t="s">
        <v>38</v>
      </c>
      <c r="B45" s="487"/>
      <c r="C45" s="487"/>
      <c r="D45" s="487"/>
      <c r="E45" s="533">
        <f>'AGG BLEND'!AC28</f>
        <v>79</v>
      </c>
      <c r="F45" s="533"/>
      <c r="G45" s="533"/>
      <c r="H45" s="533"/>
      <c r="I45" s="472">
        <f>'AGG BLEND'!AE28</f>
        <v>50</v>
      </c>
      <c r="J45" s="472"/>
      <c r="K45" s="472"/>
      <c r="L45" s="472"/>
      <c r="M45" s="472">
        <f>'AGG BLEND'!AG28</f>
        <v>85</v>
      </c>
      <c r="N45" s="472"/>
      <c r="O45" s="472"/>
      <c r="P45" s="472"/>
      <c r="Q45" s="101"/>
      <c r="R45" s="101"/>
      <c r="S45" s="101"/>
      <c r="T45" s="101"/>
      <c r="U45" s="101"/>
      <c r="V45" s="461" t="s">
        <v>152</v>
      </c>
      <c r="W45" s="461"/>
      <c r="X45" s="461"/>
      <c r="Y45" s="461"/>
      <c r="Z45" s="461"/>
      <c r="AA45" s="453"/>
      <c r="AB45" s="453"/>
      <c r="AC45" s="453"/>
      <c r="AD45" s="453"/>
      <c r="AE45" s="101" t="s">
        <v>290</v>
      </c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</row>
    <row r="46" spans="1:41" ht="14" customHeight="1" x14ac:dyDescent="0.25">
      <c r="A46" s="487" t="s">
        <v>39</v>
      </c>
      <c r="B46" s="487"/>
      <c r="C46" s="487"/>
      <c r="D46" s="487"/>
      <c r="E46" s="488">
        <f>'AGG BLEND'!AC29</f>
        <v>71</v>
      </c>
      <c r="F46" s="488"/>
      <c r="G46" s="488"/>
      <c r="H46" s="488"/>
      <c r="I46" s="472" t="str">
        <f>'AGG BLEND'!AE29</f>
        <v/>
      </c>
      <c r="J46" s="472"/>
      <c r="K46" s="472"/>
      <c r="L46" s="472"/>
      <c r="M46" s="472" t="str">
        <f>'AGG BLEND'!AG29</f>
        <v/>
      </c>
      <c r="N46" s="472"/>
      <c r="O46" s="472"/>
      <c r="P46" s="472"/>
      <c r="Q46" s="101"/>
      <c r="R46" s="101"/>
      <c r="S46" s="101"/>
      <c r="T46" s="101"/>
      <c r="U46" s="101"/>
      <c r="V46" s="461"/>
      <c r="W46" s="461"/>
      <c r="X46" s="461"/>
      <c r="Y46" s="461"/>
      <c r="Z46" s="461"/>
      <c r="AA46" s="473" t="str">
        <f>IF(AA45&lt;&gt;"",AA45*100/2000,"")</f>
        <v/>
      </c>
      <c r="AB46" s="473"/>
      <c r="AC46" s="473"/>
      <c r="AD46" s="473"/>
      <c r="AE46" s="101" t="s">
        <v>143</v>
      </c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</row>
    <row r="47" spans="1:41" ht="14" customHeight="1" x14ac:dyDescent="0.25">
      <c r="A47" s="487" t="s">
        <v>40</v>
      </c>
      <c r="B47" s="487"/>
      <c r="C47" s="487"/>
      <c r="D47" s="487"/>
      <c r="E47" s="533">
        <f>'AGG BLEND'!AC30</f>
        <v>50</v>
      </c>
      <c r="F47" s="533"/>
      <c r="G47" s="533"/>
      <c r="H47" s="533"/>
      <c r="I47" s="472">
        <f>'AGG BLEND'!AE30</f>
        <v>25</v>
      </c>
      <c r="J47" s="472"/>
      <c r="K47" s="472"/>
      <c r="L47" s="472"/>
      <c r="M47" s="472">
        <f>'AGG BLEND'!AG30</f>
        <v>60</v>
      </c>
      <c r="N47" s="472"/>
      <c r="O47" s="472"/>
      <c r="P47" s="472"/>
      <c r="Q47" s="101"/>
      <c r="R47" s="101"/>
      <c r="S47" s="101"/>
      <c r="T47" s="101"/>
      <c r="U47" s="101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01"/>
      <c r="AO47" s="101"/>
    </row>
    <row r="48" spans="1:41" ht="14" customHeight="1" x14ac:dyDescent="0.25">
      <c r="A48" s="487" t="s">
        <v>41</v>
      </c>
      <c r="B48" s="487"/>
      <c r="C48" s="487"/>
      <c r="D48" s="487"/>
      <c r="E48" s="533">
        <f>'AGG BLEND'!AC31</f>
        <v>38</v>
      </c>
      <c r="F48" s="533"/>
      <c r="G48" s="533"/>
      <c r="H48" s="533"/>
      <c r="I48" s="472">
        <f>'AGG BLEND'!AE31</f>
        <v>15</v>
      </c>
      <c r="J48" s="472"/>
      <c r="K48" s="472"/>
      <c r="L48" s="472"/>
      <c r="M48" s="472">
        <f>'AGG BLEND'!AG31</f>
        <v>45</v>
      </c>
      <c r="N48" s="472"/>
      <c r="O48" s="472"/>
      <c r="P48" s="472"/>
      <c r="Q48" s="101"/>
      <c r="R48" s="101"/>
      <c r="S48" s="101"/>
      <c r="T48" s="101"/>
      <c r="U48" s="101"/>
      <c r="V48" s="101" t="s">
        <v>304</v>
      </c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20"/>
      <c r="AN48" s="101"/>
      <c r="AO48" s="101"/>
    </row>
    <row r="49" spans="1:41" ht="15" customHeight="1" x14ac:dyDescent="0.25">
      <c r="A49" s="487" t="s">
        <v>42</v>
      </c>
      <c r="B49" s="487"/>
      <c r="C49" s="487"/>
      <c r="D49" s="487"/>
      <c r="E49" s="488">
        <f>'AGG BLEND'!AC32</f>
        <v>28</v>
      </c>
      <c r="F49" s="488"/>
      <c r="G49" s="488"/>
      <c r="H49" s="488"/>
      <c r="I49" s="472">
        <f>'AGG BLEND'!AE32</f>
        <v>10</v>
      </c>
      <c r="J49" s="472"/>
      <c r="K49" s="472"/>
      <c r="L49" s="472"/>
      <c r="M49" s="472">
        <f>'AGG BLEND'!AG32</f>
        <v>35</v>
      </c>
      <c r="N49" s="472"/>
      <c r="O49" s="472"/>
      <c r="P49" s="472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20"/>
      <c r="AN49" s="101"/>
      <c r="AO49" s="101"/>
    </row>
    <row r="50" spans="1:41" ht="14" customHeight="1" x14ac:dyDescent="0.25">
      <c r="A50" s="487" t="s">
        <v>43</v>
      </c>
      <c r="B50" s="487"/>
      <c r="C50" s="487"/>
      <c r="D50" s="487"/>
      <c r="E50" s="488">
        <f>'AGG BLEND'!AC33</f>
        <v>20</v>
      </c>
      <c r="F50" s="488"/>
      <c r="G50" s="488"/>
      <c r="H50" s="488"/>
      <c r="I50" s="472" t="str">
        <f>'AGG BLEND'!AE33</f>
        <v/>
      </c>
      <c r="J50" s="472"/>
      <c r="K50" s="472"/>
      <c r="L50" s="472"/>
      <c r="M50" s="472" t="str">
        <f>'AGG BLEND'!AG33</f>
        <v/>
      </c>
      <c r="N50" s="472"/>
      <c r="O50" s="472"/>
      <c r="P50" s="472"/>
      <c r="Q50" s="101"/>
      <c r="R50" s="101"/>
      <c r="S50" s="101"/>
      <c r="T50" s="101"/>
      <c r="U50" s="101"/>
      <c r="V50" s="407" t="s">
        <v>292</v>
      </c>
      <c r="W50" s="407"/>
      <c r="X50" s="407"/>
      <c r="Y50" s="407"/>
      <c r="Z50" s="407"/>
      <c r="AA50" s="407"/>
      <c r="AB50" s="407"/>
      <c r="AC50" s="407"/>
      <c r="AD50" s="407"/>
      <c r="AE50" s="407"/>
      <c r="AF50" s="453"/>
      <c r="AG50" s="453"/>
      <c r="AH50" s="453"/>
      <c r="AI50" s="453"/>
      <c r="AJ50" s="101" t="s">
        <v>22</v>
      </c>
      <c r="AK50" s="101"/>
      <c r="AL50" s="101"/>
      <c r="AM50" s="120"/>
      <c r="AN50" s="101"/>
      <c r="AO50" s="101"/>
    </row>
    <row r="51" spans="1:41" ht="14" customHeight="1" x14ac:dyDescent="0.25">
      <c r="A51" s="487" t="s">
        <v>44</v>
      </c>
      <c r="B51" s="487"/>
      <c r="C51" s="487"/>
      <c r="D51" s="487"/>
      <c r="E51" s="488">
        <f>'AGG BLEND'!AC34</f>
        <v>12</v>
      </c>
      <c r="F51" s="488"/>
      <c r="G51" s="488"/>
      <c r="H51" s="488"/>
      <c r="I51" s="472">
        <f>'AGG BLEND'!AE34</f>
        <v>3</v>
      </c>
      <c r="J51" s="472"/>
      <c r="K51" s="472"/>
      <c r="L51" s="472"/>
      <c r="M51" s="472">
        <f>'AGG BLEND'!AG34</f>
        <v>18</v>
      </c>
      <c r="N51" s="472"/>
      <c r="O51" s="472"/>
      <c r="P51" s="472"/>
      <c r="Q51" s="101"/>
      <c r="R51" s="101"/>
      <c r="S51" s="101"/>
      <c r="T51" s="101"/>
      <c r="U51" s="101"/>
      <c r="V51" s="461" t="s">
        <v>293</v>
      </c>
      <c r="W51" s="461"/>
      <c r="X51" s="461"/>
      <c r="Y51" s="461"/>
      <c r="Z51" s="461"/>
      <c r="AA51" s="535" t="str">
        <f>IF(AF50&lt;&gt;"",AA45*AF50/100,"")</f>
        <v/>
      </c>
      <c r="AB51" s="473"/>
      <c r="AC51" s="473"/>
      <c r="AD51" s="473"/>
      <c r="AE51" s="101" t="s">
        <v>294</v>
      </c>
      <c r="AF51" s="101"/>
      <c r="AG51" s="101"/>
      <c r="AH51" s="101"/>
      <c r="AI51" s="101"/>
      <c r="AJ51" s="101"/>
      <c r="AK51" s="101"/>
      <c r="AL51" s="101"/>
      <c r="AM51" s="120"/>
      <c r="AN51" s="101"/>
      <c r="AO51" s="101"/>
    </row>
    <row r="52" spans="1:41" ht="14" customHeight="1" x14ac:dyDescent="0.25">
      <c r="A52" s="487" t="s">
        <v>45</v>
      </c>
      <c r="B52" s="487"/>
      <c r="C52" s="487"/>
      <c r="D52" s="487"/>
      <c r="E52" s="488">
        <f>'AGG BLEND'!AC35</f>
        <v>7</v>
      </c>
      <c r="F52" s="488"/>
      <c r="G52" s="488"/>
      <c r="H52" s="488"/>
      <c r="I52" s="472" t="str">
        <f>'AGG BLEND'!AE35</f>
        <v/>
      </c>
      <c r="J52" s="472"/>
      <c r="K52" s="472"/>
      <c r="L52" s="472"/>
      <c r="M52" s="472" t="str">
        <f>'AGG BLEND'!AG35</f>
        <v/>
      </c>
      <c r="N52" s="472"/>
      <c r="O52" s="472"/>
      <c r="P52" s="472"/>
      <c r="Q52" s="101"/>
      <c r="R52" s="101"/>
      <c r="S52" s="101"/>
      <c r="T52" s="101"/>
      <c r="U52" s="101"/>
      <c r="V52" s="461"/>
      <c r="W52" s="461"/>
      <c r="X52" s="461"/>
      <c r="Y52" s="461"/>
      <c r="Z52" s="461"/>
      <c r="AA52" s="535" t="str">
        <f>IF(AF50&lt;&gt;"",AA45*AF50/100*16,"")</f>
        <v/>
      </c>
      <c r="AB52" s="473"/>
      <c r="AC52" s="473"/>
      <c r="AD52" s="473"/>
      <c r="AE52" s="101" t="s">
        <v>295</v>
      </c>
      <c r="AF52" s="101"/>
      <c r="AG52" s="101"/>
      <c r="AH52" s="101"/>
      <c r="AI52" s="101"/>
      <c r="AJ52" s="101"/>
      <c r="AK52" s="101"/>
      <c r="AL52" s="101"/>
      <c r="AM52" s="120"/>
      <c r="AN52" s="101"/>
      <c r="AO52" s="101"/>
    </row>
    <row r="53" spans="1:41" ht="14" customHeight="1" x14ac:dyDescent="0.25">
      <c r="A53" s="487" t="s">
        <v>88</v>
      </c>
      <c r="B53" s="487"/>
      <c r="C53" s="487"/>
      <c r="D53" s="487"/>
      <c r="E53" s="534">
        <f>'AGG BLEND'!AC36</f>
        <v>4.5999999999999996</v>
      </c>
      <c r="F53" s="534"/>
      <c r="G53" s="534"/>
      <c r="H53" s="534"/>
      <c r="I53" s="472">
        <f>'AGG BLEND'!AE36</f>
        <v>1</v>
      </c>
      <c r="J53" s="472"/>
      <c r="K53" s="472"/>
      <c r="L53" s="472"/>
      <c r="M53" s="472">
        <f>'AGG BLEND'!AG36</f>
        <v>7</v>
      </c>
      <c r="N53" s="472"/>
      <c r="O53" s="472"/>
      <c r="P53" s="472"/>
      <c r="Q53" s="101"/>
      <c r="R53" s="101"/>
      <c r="S53" s="101"/>
      <c r="T53" s="101"/>
      <c r="U53" s="101"/>
      <c r="V53" s="461"/>
      <c r="W53" s="461"/>
      <c r="X53" s="461"/>
      <c r="Y53" s="461"/>
      <c r="Z53" s="461"/>
      <c r="AA53" s="535" t="str">
        <f>IF(AF50&lt;&gt;"",AA46*AF50/100,"")</f>
        <v/>
      </c>
      <c r="AB53" s="473"/>
      <c r="AC53" s="473"/>
      <c r="AD53" s="473"/>
      <c r="AE53" s="101" t="s">
        <v>143</v>
      </c>
      <c r="AF53" s="101"/>
      <c r="AG53" s="101"/>
      <c r="AH53" s="101"/>
      <c r="AI53" s="101"/>
      <c r="AJ53" s="101"/>
      <c r="AK53" s="101"/>
      <c r="AL53" s="101"/>
      <c r="AM53" s="120"/>
      <c r="AN53" s="101"/>
      <c r="AO53" s="101"/>
    </row>
    <row r="54" spans="1:41" ht="14" customHeight="1" thickBot="1" x14ac:dyDescent="0.3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</row>
    <row r="55" spans="1:41" ht="14" customHeight="1" x14ac:dyDescent="0.25">
      <c r="A55" s="120"/>
      <c r="B55" s="132"/>
      <c r="C55" s="133"/>
      <c r="D55" s="133"/>
      <c r="E55" s="133"/>
      <c r="F55" s="133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5"/>
      <c r="AO55" s="120"/>
    </row>
    <row r="56" spans="1:41" ht="14" customHeight="1" x14ac:dyDescent="0.25">
      <c r="A56" s="120"/>
      <c r="B56" s="136"/>
      <c r="C56" s="137" t="s">
        <v>378</v>
      </c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38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39"/>
      <c r="AO56" s="120"/>
    </row>
    <row r="57" spans="1:41" ht="7" customHeight="1" x14ac:dyDescent="0.25">
      <c r="A57" s="120"/>
      <c r="B57" s="136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38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39"/>
      <c r="AO57" s="120"/>
    </row>
    <row r="58" spans="1:41" ht="14" customHeight="1" x14ac:dyDescent="0.25">
      <c r="A58" s="120"/>
      <c r="B58" s="136"/>
      <c r="C58" s="407" t="s">
        <v>379</v>
      </c>
      <c r="D58" s="407"/>
      <c r="E58" s="407"/>
      <c r="F58" s="407"/>
      <c r="G58" s="407"/>
      <c r="H58" s="407"/>
      <c r="I58" s="407"/>
      <c r="J58" s="407"/>
      <c r="K58" s="454" t="s">
        <v>71</v>
      </c>
      <c r="L58" s="455"/>
      <c r="M58" s="456"/>
      <c r="N58" s="138"/>
      <c r="O58" s="101"/>
      <c r="P58" s="407" t="s">
        <v>84</v>
      </c>
      <c r="Q58" s="407"/>
      <c r="R58" s="407"/>
      <c r="S58" s="407"/>
      <c r="T58" s="407"/>
      <c r="U58" s="407"/>
      <c r="V58" s="460" t="s">
        <v>335</v>
      </c>
      <c r="W58" s="460"/>
      <c r="X58" s="460"/>
      <c r="Y58" s="460"/>
      <c r="Z58" s="120"/>
      <c r="AA58" s="120"/>
      <c r="AB58" s="120"/>
      <c r="AC58" s="120"/>
      <c r="AD58" s="120"/>
      <c r="AE58" s="120"/>
      <c r="AF58" s="101"/>
      <c r="AG58" s="101"/>
      <c r="AH58" s="101"/>
      <c r="AI58" s="101"/>
      <c r="AJ58" s="101"/>
      <c r="AK58" s="101"/>
      <c r="AL58" s="120"/>
      <c r="AM58" s="120"/>
      <c r="AN58" s="139"/>
      <c r="AO58" s="120"/>
    </row>
    <row r="59" spans="1:41" ht="7" customHeight="1" x14ac:dyDescent="0.25">
      <c r="A59" s="120"/>
      <c r="B59" s="136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38"/>
      <c r="O59" s="101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01"/>
      <c r="AG59" s="101"/>
      <c r="AH59" s="101"/>
      <c r="AI59" s="101"/>
      <c r="AJ59" s="101"/>
      <c r="AK59" s="101"/>
      <c r="AL59" s="120"/>
      <c r="AM59" s="120"/>
      <c r="AN59" s="139"/>
      <c r="AO59" s="120"/>
    </row>
    <row r="60" spans="1:41" ht="14" customHeight="1" x14ac:dyDescent="0.25">
      <c r="A60" s="120"/>
      <c r="B60" s="136"/>
      <c r="C60" s="407" t="s">
        <v>380</v>
      </c>
      <c r="D60" s="407"/>
      <c r="E60" s="407"/>
      <c r="F60" s="407"/>
      <c r="G60" s="407"/>
      <c r="H60" s="407"/>
      <c r="I60" s="407"/>
      <c r="J60" s="407"/>
      <c r="K60" s="454" t="s">
        <v>71</v>
      </c>
      <c r="L60" s="455"/>
      <c r="M60" s="456"/>
      <c r="N60" s="138"/>
      <c r="O60" s="101"/>
      <c r="P60" s="407" t="s">
        <v>381</v>
      </c>
      <c r="Q60" s="407"/>
      <c r="R60" s="407"/>
      <c r="S60" s="407"/>
      <c r="T60" s="407"/>
      <c r="U60" s="407"/>
      <c r="V60" s="407"/>
      <c r="W60" s="407"/>
      <c r="X60" s="407"/>
      <c r="Y60" s="407"/>
      <c r="Z60" s="453"/>
      <c r="AA60" s="453"/>
      <c r="AB60" s="453"/>
      <c r="AC60" s="453"/>
      <c r="AD60" s="120" t="s">
        <v>384</v>
      </c>
      <c r="AE60" s="120"/>
      <c r="AF60" s="101"/>
      <c r="AG60" s="101"/>
      <c r="AH60" s="101"/>
      <c r="AI60" s="101"/>
      <c r="AJ60" s="101"/>
      <c r="AK60" s="101"/>
      <c r="AL60" s="120"/>
      <c r="AM60" s="120"/>
      <c r="AN60" s="139"/>
      <c r="AO60" s="120"/>
    </row>
    <row r="61" spans="1:41" ht="7" customHeight="1" x14ac:dyDescent="0.25">
      <c r="A61" s="120"/>
      <c r="B61" s="136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38"/>
      <c r="O61" s="101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01"/>
      <c r="AG61" s="101"/>
      <c r="AH61" s="101"/>
      <c r="AI61" s="101"/>
      <c r="AJ61" s="101"/>
      <c r="AK61" s="101"/>
      <c r="AL61" s="120"/>
      <c r="AM61" s="120"/>
      <c r="AN61" s="139"/>
      <c r="AO61" s="120"/>
    </row>
    <row r="62" spans="1:41" ht="14" customHeight="1" x14ac:dyDescent="0.25">
      <c r="A62" s="120"/>
      <c r="B62" s="136"/>
      <c r="C62" s="407" t="s">
        <v>383</v>
      </c>
      <c r="D62" s="407"/>
      <c r="E62" s="407"/>
      <c r="F62" s="407"/>
      <c r="G62" s="407"/>
      <c r="H62" s="407"/>
      <c r="I62" s="407"/>
      <c r="J62" s="407"/>
      <c r="K62" s="454" t="s">
        <v>309</v>
      </c>
      <c r="L62" s="455"/>
      <c r="M62" s="456"/>
      <c r="N62" s="138"/>
      <c r="O62" s="101"/>
      <c r="P62" s="457" t="s">
        <v>1316</v>
      </c>
      <c r="Q62" s="458"/>
      <c r="R62" s="458"/>
      <c r="S62" s="458"/>
      <c r="T62" s="458"/>
      <c r="U62" s="458"/>
      <c r="V62" s="458"/>
      <c r="W62" s="458"/>
      <c r="X62" s="458"/>
      <c r="Y62" s="458"/>
      <c r="Z62" s="458"/>
      <c r="AA62" s="459"/>
      <c r="AB62" s="453">
        <v>150</v>
      </c>
      <c r="AC62" s="453"/>
      <c r="AD62" s="453"/>
      <c r="AE62" s="453"/>
      <c r="AF62" s="101"/>
      <c r="AG62" s="101"/>
      <c r="AH62" s="108" t="s">
        <v>1318</v>
      </c>
      <c r="AI62" s="453">
        <v>15</v>
      </c>
      <c r="AJ62" s="453"/>
      <c r="AK62" s="453"/>
      <c r="AL62" s="453"/>
      <c r="AM62" s="120"/>
      <c r="AN62" s="139"/>
      <c r="AO62" s="120"/>
    </row>
    <row r="63" spans="1:41" ht="7" customHeight="1" x14ac:dyDescent="0.25">
      <c r="A63" s="120"/>
      <c r="B63" s="136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01"/>
      <c r="P63" s="120"/>
      <c r="Q63" s="120"/>
      <c r="R63" s="120"/>
      <c r="S63" s="120"/>
      <c r="T63" s="120"/>
      <c r="U63" s="120"/>
      <c r="V63" s="120"/>
      <c r="W63" s="120"/>
      <c r="X63" s="120"/>
      <c r="Y63" s="101"/>
      <c r="Z63" s="101"/>
      <c r="AA63" s="101"/>
      <c r="AB63" s="101"/>
      <c r="AC63" s="101"/>
      <c r="AD63" s="120"/>
      <c r="AE63" s="120"/>
      <c r="AF63" s="101"/>
      <c r="AG63" s="101"/>
      <c r="AH63" s="108"/>
      <c r="AI63" s="101"/>
      <c r="AJ63" s="101"/>
      <c r="AK63" s="120"/>
      <c r="AL63" s="120"/>
      <c r="AM63" s="120"/>
      <c r="AN63" s="139"/>
      <c r="AO63" s="120"/>
    </row>
    <row r="64" spans="1:41" ht="14" customHeight="1" x14ac:dyDescent="0.25">
      <c r="A64" s="120"/>
      <c r="B64" s="136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01"/>
      <c r="P64" s="457" t="s">
        <v>1317</v>
      </c>
      <c r="Q64" s="458"/>
      <c r="R64" s="458"/>
      <c r="S64" s="458"/>
      <c r="T64" s="458"/>
      <c r="U64" s="458"/>
      <c r="V64" s="458"/>
      <c r="W64" s="458"/>
      <c r="X64" s="458"/>
      <c r="Y64" s="458"/>
      <c r="Z64" s="458"/>
      <c r="AA64" s="459"/>
      <c r="AB64" s="453">
        <v>60</v>
      </c>
      <c r="AC64" s="453"/>
      <c r="AD64" s="453"/>
      <c r="AE64" s="453"/>
      <c r="AF64" s="101"/>
      <c r="AG64" s="101"/>
      <c r="AH64" s="108" t="s">
        <v>1318</v>
      </c>
      <c r="AI64" s="453">
        <v>10</v>
      </c>
      <c r="AJ64" s="453"/>
      <c r="AK64" s="453"/>
      <c r="AL64" s="453"/>
      <c r="AM64" s="120"/>
      <c r="AN64" s="139"/>
      <c r="AO64" s="120"/>
    </row>
    <row r="65" spans="1:41" ht="14" customHeight="1" x14ac:dyDescent="0.25">
      <c r="A65" s="120"/>
      <c r="B65" s="136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1"/>
      <c r="O65" s="118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18"/>
      <c r="AG65" s="118"/>
      <c r="AH65" s="118"/>
      <c r="AI65" s="118"/>
      <c r="AJ65" s="118"/>
      <c r="AK65" s="118"/>
      <c r="AL65" s="140"/>
      <c r="AM65" s="120"/>
      <c r="AN65" s="139"/>
      <c r="AO65" s="120"/>
    </row>
    <row r="66" spans="1:41" ht="14" customHeight="1" x14ac:dyDescent="0.25">
      <c r="A66" s="120"/>
      <c r="B66" s="136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38"/>
      <c r="O66" s="101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01"/>
      <c r="AG66" s="101"/>
      <c r="AH66" s="101"/>
      <c r="AI66" s="101"/>
      <c r="AJ66" s="101"/>
      <c r="AK66" s="101"/>
      <c r="AL66" s="120"/>
      <c r="AM66" s="120"/>
      <c r="AN66" s="139"/>
      <c r="AO66" s="120"/>
    </row>
    <row r="67" spans="1:41" ht="14" customHeight="1" x14ac:dyDescent="0.25">
      <c r="A67" s="120"/>
      <c r="B67" s="136"/>
      <c r="C67" s="407" t="s">
        <v>385</v>
      </c>
      <c r="D67" s="407"/>
      <c r="E67" s="407"/>
      <c r="F67" s="407"/>
      <c r="G67" s="407"/>
      <c r="H67" s="407"/>
      <c r="I67" s="407"/>
      <c r="J67" s="407"/>
      <c r="K67" s="454" t="s">
        <v>309</v>
      </c>
      <c r="L67" s="455"/>
      <c r="M67" s="456"/>
      <c r="N67" s="138"/>
      <c r="O67" s="101"/>
      <c r="P67" s="407" t="s">
        <v>1251</v>
      </c>
      <c r="Q67" s="407"/>
      <c r="R67" s="407"/>
      <c r="S67" s="407"/>
      <c r="T67" s="407"/>
      <c r="U67" s="407"/>
      <c r="V67" s="407"/>
      <c r="W67" s="407"/>
      <c r="X67" s="407"/>
      <c r="Y67" s="407"/>
      <c r="Z67" s="453">
        <v>50</v>
      </c>
      <c r="AA67" s="453"/>
      <c r="AB67" s="453"/>
      <c r="AC67" s="453"/>
      <c r="AD67" s="120" t="s">
        <v>47</v>
      </c>
      <c r="AE67" s="120"/>
      <c r="AF67" s="101"/>
      <c r="AG67" s="101"/>
      <c r="AH67" s="101"/>
      <c r="AI67" s="101"/>
      <c r="AJ67" s="101"/>
      <c r="AK67" s="101"/>
      <c r="AL67" s="120"/>
      <c r="AM67" s="120"/>
      <c r="AN67" s="139"/>
      <c r="AO67" s="120"/>
    </row>
    <row r="68" spans="1:41" ht="7" customHeight="1" x14ac:dyDescent="0.25">
      <c r="A68" s="120"/>
      <c r="B68" s="136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01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01"/>
      <c r="AG68" s="101"/>
      <c r="AH68" s="101"/>
      <c r="AI68" s="101"/>
      <c r="AJ68" s="101"/>
      <c r="AK68" s="101"/>
      <c r="AL68" s="120"/>
      <c r="AM68" s="120"/>
      <c r="AN68" s="139"/>
      <c r="AO68" s="120"/>
    </row>
    <row r="69" spans="1:41" ht="14" customHeight="1" x14ac:dyDescent="0.25">
      <c r="A69" s="120"/>
      <c r="B69" s="136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01"/>
      <c r="P69" s="407" t="s">
        <v>1252</v>
      </c>
      <c r="Q69" s="407"/>
      <c r="R69" s="407"/>
      <c r="S69" s="407"/>
      <c r="T69" s="407"/>
      <c r="U69" s="407"/>
      <c r="V69" s="407"/>
      <c r="W69" s="407"/>
      <c r="X69" s="407"/>
      <c r="Y69" s="407"/>
      <c r="Z69" s="452">
        <v>12500</v>
      </c>
      <c r="AA69" s="452"/>
      <c r="AB69" s="452"/>
      <c r="AC69" s="452"/>
      <c r="AD69" s="120"/>
      <c r="AE69" s="120"/>
      <c r="AF69" s="101"/>
      <c r="AG69" s="101"/>
      <c r="AH69" s="101"/>
      <c r="AI69" s="101"/>
      <c r="AJ69" s="101"/>
      <c r="AK69" s="101"/>
      <c r="AL69" s="120"/>
      <c r="AM69" s="120"/>
      <c r="AN69" s="139"/>
      <c r="AO69" s="120"/>
    </row>
    <row r="70" spans="1:41" ht="7" customHeight="1" x14ac:dyDescent="0.25">
      <c r="A70" s="120"/>
      <c r="B70" s="136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01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01"/>
      <c r="AG70" s="101"/>
      <c r="AH70" s="101"/>
      <c r="AI70" s="101"/>
      <c r="AJ70" s="101"/>
      <c r="AK70" s="101"/>
      <c r="AL70" s="120"/>
      <c r="AM70" s="120"/>
      <c r="AN70" s="139"/>
      <c r="AO70" s="120"/>
    </row>
    <row r="71" spans="1:41" ht="14" customHeight="1" x14ac:dyDescent="0.25">
      <c r="A71" s="120"/>
      <c r="B71" s="136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01"/>
      <c r="P71" s="407" t="s">
        <v>1319</v>
      </c>
      <c r="Q71" s="407"/>
      <c r="R71" s="407"/>
      <c r="S71" s="407"/>
      <c r="T71" s="407"/>
      <c r="U71" s="407"/>
      <c r="V71" s="407"/>
      <c r="W71" s="407"/>
      <c r="X71" s="407"/>
      <c r="Y71" s="407"/>
      <c r="Z71" s="453">
        <v>4</v>
      </c>
      <c r="AA71" s="453"/>
      <c r="AB71" s="453"/>
      <c r="AC71" s="453"/>
      <c r="AD71" s="120" t="s">
        <v>384</v>
      </c>
      <c r="AE71" s="120"/>
      <c r="AF71" s="101"/>
      <c r="AG71" s="101"/>
      <c r="AH71" s="101"/>
      <c r="AI71" s="101"/>
      <c r="AJ71" s="101"/>
      <c r="AK71" s="101"/>
      <c r="AL71" s="120"/>
      <c r="AM71" s="120"/>
      <c r="AN71" s="139"/>
      <c r="AO71" s="120"/>
    </row>
    <row r="72" spans="1:41" ht="7" customHeight="1" x14ac:dyDescent="0.25">
      <c r="A72" s="120"/>
      <c r="B72" s="136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01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01"/>
      <c r="AG72" s="101"/>
      <c r="AH72" s="101"/>
      <c r="AI72" s="101"/>
      <c r="AJ72" s="101"/>
      <c r="AK72" s="101"/>
      <c r="AL72" s="120"/>
      <c r="AM72" s="120"/>
      <c r="AN72" s="139"/>
      <c r="AO72" s="120"/>
    </row>
    <row r="73" spans="1:41" ht="14" customHeight="1" x14ac:dyDescent="0.25">
      <c r="A73" s="120"/>
      <c r="B73" s="136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01"/>
      <c r="P73" s="407" t="s">
        <v>386</v>
      </c>
      <c r="Q73" s="407"/>
      <c r="R73" s="407"/>
      <c r="S73" s="407"/>
      <c r="T73" s="407"/>
      <c r="U73" s="407"/>
      <c r="V73" s="407"/>
      <c r="W73" s="407"/>
      <c r="X73" s="407"/>
      <c r="Y73" s="407"/>
      <c r="Z73" s="452">
        <v>17870</v>
      </c>
      <c r="AA73" s="452"/>
      <c r="AB73" s="452"/>
      <c r="AC73" s="452"/>
      <c r="AD73" s="120"/>
      <c r="AE73" s="120"/>
      <c r="AF73" s="101"/>
      <c r="AG73" s="101"/>
      <c r="AH73" s="101"/>
      <c r="AI73" s="101"/>
      <c r="AJ73" s="101"/>
      <c r="AK73" s="101"/>
      <c r="AL73" s="120"/>
      <c r="AM73" s="120"/>
      <c r="AN73" s="139"/>
      <c r="AO73" s="120"/>
    </row>
    <row r="74" spans="1:41" ht="14" customHeight="1" thickBot="1" x14ac:dyDescent="0.3">
      <c r="A74" s="120"/>
      <c r="B74" s="142"/>
      <c r="C74" s="143"/>
      <c r="D74" s="143"/>
      <c r="E74" s="143"/>
      <c r="F74" s="143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  <c r="AM74" s="144"/>
      <c r="AN74" s="145"/>
      <c r="AO74" s="120"/>
    </row>
    <row r="75" spans="1:41" ht="14" customHeight="1" x14ac:dyDescent="0.25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</row>
    <row r="76" spans="1:41" ht="14" customHeight="1" x14ac:dyDescent="0.25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9" t="str">
        <f>'TRANS. COV.'!AO73</f>
        <v>Ver 0.1</v>
      </c>
    </row>
    <row r="78" spans="1:41" ht="14" customHeight="1" x14ac:dyDescent="0.25">
      <c r="B78" s="146"/>
    </row>
    <row r="79" spans="1:41" ht="14" customHeight="1" x14ac:dyDescent="0.25">
      <c r="B79" s="146"/>
    </row>
  </sheetData>
  <sheetProtection algorithmName="SHA-512" hashValue="AJNWr/Ic2Zq23LH7BU3BGcVVsvLejw644oOUHaQlm3wokza/krqSLYIIhEl+2v/sgRnjyvd6z8Rcoir2HlmiRQ==" saltValue="TjEHSLIQL/BLiQxDkgsO1g==" spinCount="100000" sheet="1" objects="1" scenarios="1"/>
  <dataConsolidate/>
  <mergeCells count="181">
    <mergeCell ref="AI62:AL62"/>
    <mergeCell ref="AI64:AL64"/>
    <mergeCell ref="V23:AE23"/>
    <mergeCell ref="V26:AE26"/>
    <mergeCell ref="AI24:AL24"/>
    <mergeCell ref="AI25:AL25"/>
    <mergeCell ref="V34:AA34"/>
    <mergeCell ref="AB34:AK34"/>
    <mergeCell ref="V33:AD33"/>
    <mergeCell ref="V51:Z53"/>
    <mergeCell ref="AA52:AD52"/>
    <mergeCell ref="AA51:AD51"/>
    <mergeCell ref="AA53:AD53"/>
    <mergeCell ref="V44:AA44"/>
    <mergeCell ref="V50:AE50"/>
    <mergeCell ref="V45:Z46"/>
    <mergeCell ref="AF50:AI50"/>
    <mergeCell ref="AD29:AG29"/>
    <mergeCell ref="X24:AH24"/>
    <mergeCell ref="X25:AH25"/>
    <mergeCell ref="AD41:AK41"/>
    <mergeCell ref="AG31:AK31"/>
    <mergeCell ref="AE33:AN33"/>
    <mergeCell ref="AA45:AD45"/>
    <mergeCell ref="E53:H53"/>
    <mergeCell ref="I52:L52"/>
    <mergeCell ref="A49:D49"/>
    <mergeCell ref="I49:L49"/>
    <mergeCell ref="A48:D48"/>
    <mergeCell ref="E49:H49"/>
    <mergeCell ref="I51:L51"/>
    <mergeCell ref="E51:H51"/>
    <mergeCell ref="A51:D51"/>
    <mergeCell ref="I50:L50"/>
    <mergeCell ref="E50:H50"/>
    <mergeCell ref="A53:D53"/>
    <mergeCell ref="I53:L53"/>
    <mergeCell ref="M50:P50"/>
    <mergeCell ref="A44:D44"/>
    <mergeCell ref="I46:L46"/>
    <mergeCell ref="I48:L48"/>
    <mergeCell ref="M45:P45"/>
    <mergeCell ref="A50:D50"/>
    <mergeCell ref="E52:H52"/>
    <mergeCell ref="M48:P48"/>
    <mergeCell ref="M49:P49"/>
    <mergeCell ref="E48:H48"/>
    <mergeCell ref="M52:P52"/>
    <mergeCell ref="A46:D46"/>
    <mergeCell ref="M47:P47"/>
    <mergeCell ref="A45:D45"/>
    <mergeCell ref="I44:L44"/>
    <mergeCell ref="A47:D47"/>
    <mergeCell ref="E46:H46"/>
    <mergeCell ref="E47:H47"/>
    <mergeCell ref="M46:P46"/>
    <mergeCell ref="E44:H44"/>
    <mergeCell ref="I47:L47"/>
    <mergeCell ref="E45:H45"/>
    <mergeCell ref="A52:D52"/>
    <mergeCell ref="A8:AO8"/>
    <mergeCell ref="E40:H40"/>
    <mergeCell ref="A41:D41"/>
    <mergeCell ref="A40:D40"/>
    <mergeCell ref="E42:H42"/>
    <mergeCell ref="G15:P15"/>
    <mergeCell ref="A22:F22"/>
    <mergeCell ref="A23:F23"/>
    <mergeCell ref="A10:AO10"/>
    <mergeCell ref="A29:I29"/>
    <mergeCell ref="A18:F20"/>
    <mergeCell ref="AF39:AJ39"/>
    <mergeCell ref="I36:M36"/>
    <mergeCell ref="A35:G35"/>
    <mergeCell ref="K34:R34"/>
    <mergeCell ref="I32:N32"/>
    <mergeCell ref="A32:H32"/>
    <mergeCell ref="G18:K18"/>
    <mergeCell ref="AD28:AG28"/>
    <mergeCell ref="E41:H41"/>
    <mergeCell ref="AM17:AN17"/>
    <mergeCell ref="G19:K19"/>
    <mergeCell ref="G22:K22"/>
    <mergeCell ref="G20:K20"/>
    <mergeCell ref="M53:P53"/>
    <mergeCell ref="M51:P51"/>
    <mergeCell ref="AF26:AI26"/>
    <mergeCell ref="A25:H25"/>
    <mergeCell ref="AF23:AI23"/>
    <mergeCell ref="I25:M25"/>
    <mergeCell ref="V29:AC29"/>
    <mergeCell ref="V43:AA43"/>
    <mergeCell ref="V28:AC28"/>
    <mergeCell ref="A34:J34"/>
    <mergeCell ref="H35:T35"/>
    <mergeCell ref="J30:N30"/>
    <mergeCell ref="I40:L40"/>
    <mergeCell ref="G23:K23"/>
    <mergeCell ref="J29:N29"/>
    <mergeCell ref="A26:H26"/>
    <mergeCell ref="I26:M26"/>
    <mergeCell ref="A30:I30"/>
    <mergeCell ref="A28:K28"/>
    <mergeCell ref="L28:P28"/>
    <mergeCell ref="V41:AC41"/>
    <mergeCell ref="AB35:AK35"/>
    <mergeCell ref="V35:AA35"/>
    <mergeCell ref="A43:D43"/>
    <mergeCell ref="M43:P43"/>
    <mergeCell ref="AA46:AD46"/>
    <mergeCell ref="AB43:AK43"/>
    <mergeCell ref="V42:AA42"/>
    <mergeCell ref="AB42:AI42"/>
    <mergeCell ref="AB44:AG44"/>
    <mergeCell ref="M44:P44"/>
    <mergeCell ref="M41:P41"/>
    <mergeCell ref="A36:H36"/>
    <mergeCell ref="AB36:AE36"/>
    <mergeCell ref="V36:AA36"/>
    <mergeCell ref="V37:AA37"/>
    <mergeCell ref="AB37:AE37"/>
    <mergeCell ref="I39:P39"/>
    <mergeCell ref="M40:P40"/>
    <mergeCell ref="I45:L45"/>
    <mergeCell ref="I41:L41"/>
    <mergeCell ref="I42:L42"/>
    <mergeCell ref="A42:D42"/>
    <mergeCell ref="I43:L43"/>
    <mergeCell ref="M42:P42"/>
    <mergeCell ref="E43:H43"/>
    <mergeCell ref="A37:H37"/>
    <mergeCell ref="I37:M37"/>
    <mergeCell ref="AF21:AJ21"/>
    <mergeCell ref="V21:AE21"/>
    <mergeCell ref="V20:AE20"/>
    <mergeCell ref="AF16:AJ16"/>
    <mergeCell ref="AF20:AJ20"/>
    <mergeCell ref="V12:AB12"/>
    <mergeCell ref="V13:AB13"/>
    <mergeCell ref="AC13:AF13"/>
    <mergeCell ref="V19:AE19"/>
    <mergeCell ref="AF15:AJ15"/>
    <mergeCell ref="AF18:AJ18"/>
    <mergeCell ref="AF19:AJ19"/>
    <mergeCell ref="V17:AE17"/>
    <mergeCell ref="A12:F12"/>
    <mergeCell ref="A15:F15"/>
    <mergeCell ref="G12:S12"/>
    <mergeCell ref="A13:F13"/>
    <mergeCell ref="G13:P13"/>
    <mergeCell ref="A16:F16"/>
    <mergeCell ref="V16:AE16"/>
    <mergeCell ref="V18:AE18"/>
    <mergeCell ref="G16:K16"/>
    <mergeCell ref="AC12:AF12"/>
    <mergeCell ref="V15:AE15"/>
    <mergeCell ref="AF17:AJ17"/>
    <mergeCell ref="P58:U58"/>
    <mergeCell ref="V58:Y58"/>
    <mergeCell ref="C60:J60"/>
    <mergeCell ref="P60:Y60"/>
    <mergeCell ref="Z60:AC60"/>
    <mergeCell ref="C62:J62"/>
    <mergeCell ref="AB62:AE62"/>
    <mergeCell ref="C58:J58"/>
    <mergeCell ref="P62:AA62"/>
    <mergeCell ref="K58:M58"/>
    <mergeCell ref="K60:M60"/>
    <mergeCell ref="K62:M62"/>
    <mergeCell ref="P73:Y73"/>
    <mergeCell ref="Z73:AC73"/>
    <mergeCell ref="AB64:AE64"/>
    <mergeCell ref="C67:J67"/>
    <mergeCell ref="P67:Y67"/>
    <mergeCell ref="Z67:AC67"/>
    <mergeCell ref="P69:Y69"/>
    <mergeCell ref="Z69:AC69"/>
    <mergeCell ref="P71:Y71"/>
    <mergeCell ref="Z71:AC71"/>
    <mergeCell ref="K67:M67"/>
    <mergeCell ref="P64:AA64"/>
  </mergeCells>
  <dataValidations count="7">
    <dataValidation type="list" allowBlank="1" showInputMessage="1" showErrorMessage="1" sqref="K34:R34" xr:uid="{00000000-0002-0000-0400-000001000000}">
      <formula1>"PG 58-28 Neat,PG 64-22 Neat,PG 64-28 Neat,PG 64-28 PPA,PG 64-28 SBS,PG 64-28 SBR,PG 70-22M SBS,PG 70-22M SBR,PG 70-22M GTR,PG 76-22M SBS,PG 76-22M SBR,PG 76-22M GTR,PG 88-22M SBS,PG 88-22M TPAM"</formula1>
    </dataValidation>
    <dataValidation type="list" allowBlank="1" showInputMessage="1" showErrorMessage="1" sqref="G22:K22" xr:uid="{00000000-0002-0000-0400-000004000000}">
      <formula1>"2023,2019"</formula1>
    </dataValidation>
    <dataValidation type="list" allowBlank="1" showInputMessage="1" showErrorMessage="1" sqref="G23:K23" xr:uid="{00000000-0002-0000-0400-000005000000}">
      <formula1>"7/19/2024,1/19/2024,10/20/2023,7/21/2023,4/21/2023,1/20/2023,10/21/2022,7/15/2022,5/2/2022,4/15/2022,1/21/2022,10/15/2021,7/16/2021,4/16/2021,1/15/2021,10/16/2020,10/21/2022,4/17/2020,1/17/2020,10/18/2019,7/19/2019,4/19/2019,1/18/2019"</formula1>
    </dataValidation>
    <dataValidation type="list" allowBlank="1" showInputMessage="1" showErrorMessage="1" sqref="AF39:AJ39 AG31:AK31 K60 K62 K67 K58" xr:uid="{00000000-0002-0000-0400-000006000000}">
      <formula1>"No,Yes"</formula1>
    </dataValidation>
    <dataValidation type="list" allowBlank="1" showInputMessage="1" showErrorMessage="1" sqref="I32:N32" xr:uid="{00000000-0002-0000-0400-000007000000}">
      <formula1>"PG 58-28,PG 64-22,PG 64-28,PG 70-22M,PG 76-22M,PG 88-22M"</formula1>
    </dataValidation>
    <dataValidation type="list" allowBlank="1" showInputMessage="1" showErrorMessage="1" sqref="AE33" xr:uid="{C0B660AE-5264-4D4F-B6AF-A6D6C10A1E46}">
      <formula1>"Liquid anti-strip additive (LAS),Hydrated lime"</formula1>
    </dataValidation>
    <dataValidation type="list" allowBlank="1" showInputMessage="1" showErrorMessage="1" sqref="AN56" xr:uid="{9ECBA9B3-278F-46B8-8B30-C35752FD1DF7}">
      <formula1>"HMA,Foamed WMA,WMA using chemical additive"</formula1>
    </dataValidation>
  </dataValidations>
  <printOptions horizontalCentered="1"/>
  <pageMargins left="0.5" right="0.5" top="0.5" bottom="0.5" header="0.3" footer="0.3"/>
  <pageSetup scale="72" fitToWidth="0"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6C4D99AC-AB1D-4FBE-AAD7-BF2FEC01B003}">
            <xm:f>OR(AND(ISNUMBER('301 Spec_New_Table'!$D$23),E41&lt;'301 Spec_New_Table'!$D$23),AND(ISNUMBER('301 Spec_New_Table'!$D$24),E41&gt;'301 Spec_New_Table'!$D$24))</xm:f>
            <x14:dxf>
              <fill>
                <patternFill>
                  <bgColor rgb="FFFF9393"/>
                </patternFill>
              </fill>
            </x14:dxf>
          </x14:cfRule>
          <xm:sqref>E41:H41</xm:sqref>
        </x14:conditionalFormatting>
        <x14:conditionalFormatting xmlns:xm="http://schemas.microsoft.com/office/excel/2006/main">
          <x14:cfRule type="expression" priority="25" id="{D209B532-FF84-4748-9581-9927ABC43CD8}">
            <xm:f>OR(AND(ISNUMBER('301 Spec_New_Table'!$D$25),E42&lt;'301 Spec_New_Table'!$D$25),AND(ISNUMBER('301 Spec_New_Table'!$D$26),E42&gt;'301 Spec_New_Table'!$D$26))</xm:f>
            <x14:dxf>
              <fill>
                <patternFill>
                  <bgColor rgb="FFFF9393"/>
                </patternFill>
              </fill>
            </x14:dxf>
          </x14:cfRule>
          <xm:sqref>E42:H42</xm:sqref>
        </x14:conditionalFormatting>
        <x14:conditionalFormatting xmlns:xm="http://schemas.microsoft.com/office/excel/2006/main">
          <x14:cfRule type="expression" priority="24" id="{5E8A2EE8-B8A2-4C60-B79A-417D6E5A0BE7}">
            <xm:f>OR(AND(ISNUMBER('301 Spec_New_Table'!$D$27),E43&lt;'301 Spec_New_Table'!$D$27),AND(ISNUMBER('301 Spec_New_Table'!$D$28),E43&gt;'301 Spec_New_Table'!$D$28))</xm:f>
            <x14:dxf>
              <fill>
                <patternFill>
                  <bgColor rgb="FFFF9393"/>
                </patternFill>
              </fill>
            </x14:dxf>
          </x14:cfRule>
          <xm:sqref>E43:H43</xm:sqref>
        </x14:conditionalFormatting>
        <x14:conditionalFormatting xmlns:xm="http://schemas.microsoft.com/office/excel/2006/main">
          <x14:cfRule type="expression" priority="23" id="{8CAB119F-A190-4A03-9BD3-36764EAC87A9}">
            <xm:f>OR(AND(ISNUMBER('301 Spec_New_Table'!$D$29),E44&lt;'301 Spec_New_Table'!$D$29),AND(ISNUMBER('301 Spec_New_Table'!$D$30),E44&gt;'301 Spec_New_Table'!$D$30))</xm:f>
            <x14:dxf>
              <fill>
                <patternFill>
                  <bgColor rgb="FFFF9393"/>
                </patternFill>
              </fill>
            </x14:dxf>
          </x14:cfRule>
          <xm:sqref>E44:H44</xm:sqref>
        </x14:conditionalFormatting>
        <x14:conditionalFormatting xmlns:xm="http://schemas.microsoft.com/office/excel/2006/main">
          <x14:cfRule type="expression" priority="22" id="{4A1AC757-1914-45B4-BE18-DF611CDC3C1C}">
            <xm:f>OR(AND(ISNUMBER('301 Spec_New_Table'!$D$31),E45&lt;'301 Spec_New_Table'!$D$31),AND(ISNUMBER('301 Spec_New_Table'!$D$32),E45&gt;'301 Spec_New_Table'!$D$32))</xm:f>
            <x14:dxf>
              <font>
                <color theme="1"/>
              </font>
              <fill>
                <patternFill>
                  <fgColor auto="1"/>
                  <bgColor rgb="FFFF9393"/>
                </patternFill>
              </fill>
            </x14:dxf>
          </x14:cfRule>
          <xm:sqref>E45:H45</xm:sqref>
        </x14:conditionalFormatting>
        <x14:conditionalFormatting xmlns:xm="http://schemas.microsoft.com/office/excel/2006/main">
          <x14:cfRule type="expression" priority="21" id="{AC2B7858-0953-40F8-8AFE-5999951BEF3A}">
            <xm:f>OR(AND(ISNUMBER('301 Spec_New_Table'!$D$33),E46&lt;'301 Spec_New_Table'!$D$33),AND(ISNUMBER('301 Spec_New_Table'!$D$34),E46&gt;'301 Spec_New_Table'!$D$34))</xm:f>
            <x14:dxf>
              <fill>
                <patternFill>
                  <bgColor rgb="FFFF9393"/>
                </patternFill>
              </fill>
            </x14:dxf>
          </x14:cfRule>
          <xm:sqref>E46:H46</xm:sqref>
        </x14:conditionalFormatting>
        <x14:conditionalFormatting xmlns:xm="http://schemas.microsoft.com/office/excel/2006/main">
          <x14:cfRule type="expression" priority="20" id="{E940AC9F-6EC5-4118-A74B-AF711D68A2C4}">
            <xm:f>OR(AND(ISNUMBER('301 Spec_New_Table'!$D$35),E47&lt;'301 Spec_New_Table'!$D$35),AND(ISNUMBER('301 Spec_New_Table'!$D$36),E47&gt;'301 Spec_New_Table'!$D$36))</xm:f>
            <x14:dxf>
              <font>
                <color theme="1"/>
              </font>
              <fill>
                <patternFill>
                  <bgColor rgb="FFFF9393"/>
                </patternFill>
              </fill>
            </x14:dxf>
          </x14:cfRule>
          <xm:sqref>E47:H47</xm:sqref>
        </x14:conditionalFormatting>
        <x14:conditionalFormatting xmlns:xm="http://schemas.microsoft.com/office/excel/2006/main">
          <x14:cfRule type="expression" priority="19" id="{E2ED867B-E542-4A06-B727-C3FA5E16FA2D}">
            <xm:f>OR(AND(ISNUMBER('301 Spec_New_Table'!$D$37),E48&lt;'301 Spec_New_Table'!$D$37),AND(ISNUMBER('301 Spec_New_Table'!$D$38),E48&gt;'301 Spec_New_Table'!$D$38))</xm:f>
            <x14:dxf>
              <font>
                <color theme="1"/>
              </font>
              <fill>
                <patternFill>
                  <bgColor rgb="FFFF9393"/>
                </patternFill>
              </fill>
            </x14:dxf>
          </x14:cfRule>
          <xm:sqref>E48:H48</xm:sqref>
        </x14:conditionalFormatting>
        <x14:conditionalFormatting xmlns:xm="http://schemas.microsoft.com/office/excel/2006/main">
          <x14:cfRule type="expression" priority="18" id="{0F3B00CF-B35A-4FC7-8D0A-8A04446D121F}">
            <xm:f>OR(AND(ISNUMBER('301 Spec_New_Table'!$D$39),E49&lt;'301 Spec_New_Table'!$D$39),AND(ISNUMBER('301 Spec_New_Table'!$D$40),E49&gt;'301 Spec_New_Table'!$D$40))</xm:f>
            <x14:dxf>
              <fill>
                <patternFill>
                  <bgColor rgb="FFFF9393"/>
                </patternFill>
              </fill>
            </x14:dxf>
          </x14:cfRule>
          <xm:sqref>E49:H49</xm:sqref>
        </x14:conditionalFormatting>
        <x14:conditionalFormatting xmlns:xm="http://schemas.microsoft.com/office/excel/2006/main">
          <x14:cfRule type="expression" priority="17" id="{58893121-2142-4545-9A7A-516EF2ECB634}">
            <xm:f>OR(AND(ISNUMBER('301 Spec_New_Table'!$D$41),E50&lt;'301 Spec_New_Table'!$D$41),AND(ISNUMBER('301 Spec_New_Table'!$D$42),E50&gt;'301 Spec_New_Table'!$D$42))</xm:f>
            <x14:dxf>
              <fill>
                <patternFill>
                  <bgColor rgb="FFFF9393"/>
                </patternFill>
              </fill>
            </x14:dxf>
          </x14:cfRule>
          <xm:sqref>E50:H50</xm:sqref>
        </x14:conditionalFormatting>
        <x14:conditionalFormatting xmlns:xm="http://schemas.microsoft.com/office/excel/2006/main">
          <x14:cfRule type="expression" priority="16" id="{FB41BF91-F552-4EF7-8683-C39B0837B1E3}">
            <xm:f>OR(AND(ISNUMBER('301 Spec_New_Table'!$D$43),E51&lt;'301 Spec_New_Table'!$D$43),AND(ISNUMBER('301 Spec_New_Table'!$D$44),E51&gt;'301 Spec_New_Table'!$D$44))</xm:f>
            <x14:dxf>
              <fill>
                <patternFill>
                  <bgColor rgb="FFFF9393"/>
                </patternFill>
              </fill>
            </x14:dxf>
          </x14:cfRule>
          <xm:sqref>E51:H51</xm:sqref>
        </x14:conditionalFormatting>
        <x14:conditionalFormatting xmlns:xm="http://schemas.microsoft.com/office/excel/2006/main">
          <x14:cfRule type="expression" priority="15" id="{0F380475-A80B-49EF-B783-E3F1D1CDC454}">
            <xm:f>OR(AND(ISNUMBER('301 Spec_New_Table'!$D$45),E52&lt;'301 Spec_New_Table'!$D$45),AND(ISNUMBER('301 Spec_New_Table'!$D$46),E52&gt;'301 Spec_New_Table'!$D$46))</xm:f>
            <x14:dxf>
              <fill>
                <patternFill>
                  <bgColor rgb="FFFF9393"/>
                </patternFill>
              </fill>
            </x14:dxf>
          </x14:cfRule>
          <xm:sqref>E52:H52</xm:sqref>
        </x14:conditionalFormatting>
        <x14:conditionalFormatting xmlns:xm="http://schemas.microsoft.com/office/excel/2006/main">
          <x14:cfRule type="expression" priority="14" id="{906E0EF4-A3DB-4AEE-934A-C539705EE518}">
            <xm:f>OR(AND(ISNUMBER('301 Spec_New_Table'!$D$47),E53&lt;'301 Spec_New_Table'!$D$47),AND(ISNUMBER('301 Spec_New_Table'!$D$48),E53&gt;'301 Spec_New_Table'!$D$48))</xm:f>
            <x14:dxf>
              <font>
                <color theme="1"/>
              </font>
              <fill>
                <patternFill>
                  <bgColor rgb="FFFF9393"/>
                </patternFill>
              </fill>
            </x14:dxf>
          </x14:cfRule>
          <xm:sqref>E53:H53</xm:sqref>
        </x14:conditionalFormatting>
        <x14:conditionalFormatting xmlns:xm="http://schemas.microsoft.com/office/excel/2006/main">
          <x14:cfRule type="expression" priority="55" id="{01BC8A05-C461-4480-B55F-D2FB2E66186C}">
            <xm:f>J30&lt;IF(AND(ISNUMBER('301 Spec_New_Table'!$D$17),COUNTIF(K34,"*"&amp;"SBS"&amp;"*")+COUNTIF(K34,"*"&amp;"SBR"&amp;"*")+COUNTIF(K34,"*"&amp;"GTR"&amp;"*")+COUNTIF(K34,"*"&amp;"TPAM"&amp;"*")=1,'JMF SHEET PG 2'!$H$34="Method 1"),'301 Spec_New_Table'!$D$17,IF(AND(ISNUMBER('301 Spec_New_Table'!$D$18),COUNTIF(K34,"*"&amp;"SBS"&amp;"*")+COUNTIF(K34,"*"&amp;"SBR"&amp;"*")+COUNTIF(K34,"*"&amp;"GTR"&amp;"*")+COUNTIF(K34,"*"&amp;"TPAM"&amp;"*")=0,'JMF SHEET PG 2'!$H$34="Method 1"),'301 Spec_New_Table'!$D$18,IF(AND(ISNUMBER('301 Spec_New_Table'!$D$20),COUNTIF(K34,"*"&amp;"SBS"&amp;"*")+COUNTIF(K34,"*"&amp;"SBR"&amp;"*")+COUNTIF(K34,"*"&amp;"GTR"&amp;"*")+COUNTIF(K34,"*"&amp;"TPAM"&amp;"*")=1),'301 Spec_New_Table'!$D$20,IF(AND(ISNUMBER('301 Spec_New_Table'!$D$21),COUNTIF(K34,"*"&amp;"SBS"&amp;"*")+COUNTIF(K34,"*"&amp;"SBR"&amp;"*")+COUNTIF(K34,"*"&amp;"GTR"&amp;"*")+COUNTIF(K34,"*"&amp;"TPAM"&amp;"*")=0),'301 Spec_New_Table'!$D$21,0))))</xm:f>
            <x14:dxf>
              <fill>
                <patternFill>
                  <bgColor rgb="FFFF9393"/>
                </patternFill>
              </fill>
            </x14:dxf>
          </x14:cfRule>
          <xm:sqref>J30:N30</xm:sqref>
        </x14:conditionalFormatting>
        <x14:conditionalFormatting xmlns:xm="http://schemas.microsoft.com/office/excel/2006/main">
          <x14:cfRule type="expression" priority="59" id="{8E8B8DC9-D17D-4BBA-B117-2E4A12497E9D}">
            <xm:f>OR(AND(ISNUMBER('301 Spec_New_Table'!$D$50),'JMF SHEET PG 2'!J42='JMF SHEET PG 2'!AM42,L28&lt;'301 Spec_New_Table'!$D$50), AND(ISNUMBER('301 Spec_New_Table'!$D$51),'JMF SHEET PG 2'!J42&lt;&gt;'JMF SHEET PG 2'!AM42,L28&lt;'301 Spec_New_Table'!$D$51), AND(ISNUMBER('301 Spec_New_Table'!$D$52),L28&gt;'301 Spec_New_Table'!$D$52))</xm:f>
            <x14:dxf>
              <fill>
                <patternFill>
                  <bgColor rgb="FFFF9393"/>
                </patternFill>
              </fill>
            </x14:dxf>
          </x14:cfRule>
          <xm:sqref>L28:P28</xm:sqref>
        </x14:conditionalFormatting>
        <x14:conditionalFormatting xmlns:xm="http://schemas.microsoft.com/office/excel/2006/main">
          <x14:cfRule type="expression" priority="8" id="{DB9F7DC9-4F02-4EE8-B555-CF8C8E7F501E}">
            <xm:f>OR(AND(K58="Yes",AG31="No",ISNUMBER('301 Spec_New_Table'!$D$79),V58&lt;'301 Spec_New_Table'!$D$79), AND(K58="Yes",AG31="Yes",ISNUMBER('301 Spec_New_Table'!$D$80),V58&lt;'301 Spec_New_Table'!$D$80))</xm:f>
            <x14:dxf>
              <fill>
                <patternFill>
                  <bgColor rgb="FFFF9393"/>
                </patternFill>
              </fill>
            </x14:dxf>
          </x14:cfRule>
          <xm:sqref>V58:Y58</xm:sqref>
        </x14:conditionalFormatting>
        <x14:conditionalFormatting xmlns:xm="http://schemas.microsoft.com/office/excel/2006/main">
          <x14:cfRule type="expression" priority="7" id="{20315C07-C2B3-47D3-949A-E1645442389A}">
            <xm:f>AND(K60="Yes",ISNUMBER('301 Spec_New_Table'!$D$82),Z60&gt;='301 Spec_New_Table'!$D$82)</xm:f>
            <x14:dxf>
              <fill>
                <patternFill>
                  <bgColor rgb="FFFF9393"/>
                </patternFill>
              </fill>
            </x14:dxf>
          </x14:cfRule>
          <xm:sqref>Z60:AC60</xm:sqref>
        </x14:conditionalFormatting>
        <x14:conditionalFormatting xmlns:xm="http://schemas.microsoft.com/office/excel/2006/main">
          <x14:cfRule type="expression" priority="2" id="{4404D337-2177-4DB3-ABE7-3F90AA1F54A2}">
            <xm:f>AND(K67="Yes",ISNUMBER('301 Spec_New_Table'!$D$88),Z71&gt;='301 Spec_New_Table'!$D$88)</xm:f>
            <x14:dxf>
              <fill>
                <patternFill>
                  <bgColor rgb="FFFF9393"/>
                </patternFill>
              </fill>
            </x14:dxf>
          </x14:cfRule>
          <xm:sqref>Z71:AC71</xm:sqref>
        </x14:conditionalFormatting>
        <x14:conditionalFormatting xmlns:xm="http://schemas.microsoft.com/office/excel/2006/main">
          <x14:cfRule type="expression" priority="1" id="{4771827B-06B2-4CCB-989E-4E4BC008A25A}">
            <xm:f>AND(K67="Yes",ISNUMBER('301 Spec_New_Table'!$D$90),Z73&lt;'301 Spec_New_Table'!$D$90)</xm:f>
            <x14:dxf>
              <fill>
                <patternFill>
                  <bgColor rgb="FFFF9393"/>
                </patternFill>
              </fill>
            </x14:dxf>
          </x14:cfRule>
          <xm:sqref>Z73:AC73</xm:sqref>
        </x14:conditionalFormatting>
        <x14:conditionalFormatting xmlns:xm="http://schemas.microsoft.com/office/excel/2006/main">
          <x14:cfRule type="expression" priority="6" id="{58432DA7-4F41-4F87-94F6-8D7FB866CBD4}">
            <xm:f>AND(K62="Yes",ISNUMBER('301 Spec_New_Table'!$D$84),AB62&lt;'301 Spec_New_Table'!$D$84)</xm:f>
            <x14:dxf>
              <fill>
                <patternFill>
                  <bgColor rgb="FFFF9393"/>
                </patternFill>
              </fill>
            </x14:dxf>
          </x14:cfRule>
          <xm:sqref>AB62:AE62</xm:sqref>
        </x14:conditionalFormatting>
        <x14:conditionalFormatting xmlns:xm="http://schemas.microsoft.com/office/excel/2006/main">
          <x14:cfRule type="expression" priority="5" id="{0EA0CA6F-435B-43F8-A937-5EAD038BD702}">
            <xm:f>AND(K62="Yes",ISNUMBER('301 Spec_New_Table'!$D$86),AB64&lt;'301 Spec_New_Table'!$D$86)</xm:f>
            <x14:dxf>
              <fill>
                <patternFill>
                  <bgColor rgb="FFFF9393"/>
                </patternFill>
              </fill>
            </x14:dxf>
          </x14:cfRule>
          <xm:sqref>AB64:AE64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E000000}">
          <x14:formula1>
            <xm:f>'Fibers Sources'!$A$2:$A$1000</xm:f>
          </x14:formula1>
          <xm:sqref>AD41</xm:sqref>
        </x14:dataValidation>
        <x14:dataValidation type="list" allowBlank="1" showInputMessage="1" showErrorMessage="1" xr:uid="{00000000-0002-0000-0400-00000F000000}">
          <x14:formula1>
            <xm:f>'Binder Sources'!$A$2:$A$1000</xm:f>
          </x14:formula1>
          <xm:sqref>H35:T35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2">
    <pageSetUpPr fitToPage="1"/>
  </sheetPr>
  <dimension ref="A1:AT69"/>
  <sheetViews>
    <sheetView zoomScale="80" zoomScaleNormal="80" workbookViewId="0"/>
  </sheetViews>
  <sheetFormatPr defaultColWidth="9.08984375" defaultRowHeight="14" customHeight="1" x14ac:dyDescent="0.25"/>
  <cols>
    <col min="1" max="41" width="2.81640625" style="102" customWidth="1"/>
    <col min="42" max="16384" width="9.08984375" style="102"/>
  </cols>
  <sheetData>
    <row r="1" spans="1:41" ht="14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ht="14" customHeight="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ht="14" customHeight="1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ht="13.75" customHeigh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ht="14" customHeight="1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</row>
    <row r="6" spans="1:41" ht="14" customHeight="1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</row>
    <row r="7" spans="1:41" ht="14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</row>
    <row r="8" spans="1:41" ht="14" customHeight="1" x14ac:dyDescent="0.25">
      <c r="A8" s="511" t="s">
        <v>102</v>
      </c>
      <c r="B8" s="511"/>
      <c r="C8" s="511"/>
      <c r="D8" s="511"/>
      <c r="E8" s="511"/>
      <c r="F8" s="511"/>
      <c r="G8" s="511"/>
      <c r="H8" s="511"/>
      <c r="I8" s="51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</row>
    <row r="9" spans="1:41" ht="8" customHeight="1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</row>
    <row r="10" spans="1:41" ht="14" customHeight="1" x14ac:dyDescent="0.25">
      <c r="A10" s="514" t="s">
        <v>154</v>
      </c>
      <c r="B10" s="514"/>
      <c r="C10" s="514"/>
      <c r="D10" s="514"/>
      <c r="E10" s="514"/>
      <c r="F10" s="514"/>
      <c r="G10" s="514"/>
      <c r="H10" s="514"/>
      <c r="I10" s="514"/>
      <c r="J10" s="514"/>
      <c r="K10" s="514"/>
      <c r="L10" s="514"/>
      <c r="M10" s="514"/>
      <c r="N10" s="514"/>
      <c r="O10" s="514"/>
      <c r="P10" s="514"/>
      <c r="Q10" s="514"/>
      <c r="R10" s="514"/>
      <c r="S10" s="514"/>
      <c r="T10" s="514"/>
      <c r="U10" s="514"/>
      <c r="V10" s="514"/>
      <c r="W10" s="514"/>
      <c r="X10" s="514"/>
      <c r="Y10" s="514"/>
      <c r="Z10" s="514"/>
      <c r="AA10" s="514"/>
      <c r="AB10" s="514"/>
      <c r="AC10" s="514"/>
      <c r="AD10" s="514"/>
      <c r="AE10" s="514"/>
      <c r="AF10" s="514"/>
      <c r="AG10" s="514"/>
      <c r="AH10" s="514"/>
      <c r="AI10" s="514"/>
      <c r="AJ10" s="514"/>
      <c r="AK10" s="514"/>
      <c r="AL10" s="514"/>
      <c r="AM10" s="514"/>
      <c r="AN10" s="514"/>
      <c r="AO10" s="514"/>
    </row>
    <row r="11" spans="1:41" ht="8" customHeight="1" thickBot="1" x14ac:dyDescent="0.3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</row>
    <row r="12" spans="1:41" ht="14" customHeight="1" x14ac:dyDescent="0.25">
      <c r="A12" s="563" t="s">
        <v>182</v>
      </c>
      <c r="B12" s="564"/>
      <c r="C12" s="564"/>
      <c r="D12" s="564"/>
      <c r="E12" s="564"/>
      <c r="F12" s="564"/>
      <c r="G12" s="564"/>
      <c r="H12" s="564"/>
      <c r="I12" s="564"/>
      <c r="J12" s="564"/>
      <c r="K12" s="564"/>
      <c r="L12" s="564"/>
      <c r="M12" s="564"/>
      <c r="N12" s="564"/>
      <c r="O12" s="564"/>
      <c r="P12" s="564"/>
      <c r="Q12" s="564"/>
      <c r="R12" s="564"/>
      <c r="S12" s="564"/>
      <c r="T12" s="564"/>
      <c r="U12" s="564"/>
      <c r="V12" s="564"/>
      <c r="W12" s="564"/>
      <c r="X12" s="564"/>
      <c r="Y12" s="564"/>
      <c r="Z12" s="564"/>
      <c r="AA12" s="564"/>
      <c r="AB12" s="564"/>
      <c r="AC12" s="564"/>
      <c r="AD12" s="564"/>
      <c r="AE12" s="564"/>
      <c r="AF12" s="564"/>
      <c r="AG12" s="564"/>
      <c r="AH12" s="564"/>
      <c r="AI12" s="564"/>
      <c r="AJ12" s="564"/>
      <c r="AK12" s="564"/>
      <c r="AL12" s="564"/>
      <c r="AM12" s="564"/>
      <c r="AN12" s="564"/>
      <c r="AO12" s="565"/>
    </row>
    <row r="13" spans="1:41" ht="14" customHeight="1" x14ac:dyDescent="0.25">
      <c r="A13" s="566" t="s">
        <v>22</v>
      </c>
      <c r="B13" s="567"/>
      <c r="C13" s="567"/>
      <c r="D13" s="575" t="s">
        <v>314</v>
      </c>
      <c r="E13" s="576"/>
      <c r="F13" s="576"/>
      <c r="G13" s="576"/>
      <c r="H13" s="576"/>
      <c r="I13" s="576"/>
      <c r="J13" s="576"/>
      <c r="K13" s="576"/>
      <c r="L13" s="576"/>
      <c r="M13" s="576"/>
      <c r="N13" s="576"/>
      <c r="O13" s="576"/>
      <c r="P13" s="576"/>
      <c r="Q13" s="576"/>
      <c r="R13" s="576"/>
      <c r="S13" s="576"/>
      <c r="T13" s="576"/>
      <c r="U13" s="576"/>
      <c r="V13" s="576"/>
      <c r="W13" s="576"/>
      <c r="X13" s="576"/>
      <c r="Y13" s="576"/>
      <c r="Z13" s="576"/>
      <c r="AA13" s="576"/>
      <c r="AB13" s="576"/>
      <c r="AC13" s="576"/>
      <c r="AD13" s="576"/>
      <c r="AE13" s="570" t="s">
        <v>23</v>
      </c>
      <c r="AF13" s="570"/>
      <c r="AG13" s="570"/>
      <c r="AH13" s="570"/>
      <c r="AI13" s="570"/>
      <c r="AJ13" s="540" t="s">
        <v>291</v>
      </c>
      <c r="AK13" s="541"/>
      <c r="AL13" s="552"/>
      <c r="AM13" s="540" t="s">
        <v>1242</v>
      </c>
      <c r="AN13" s="541"/>
      <c r="AO13" s="542"/>
    </row>
    <row r="14" spans="1:41" ht="14" customHeight="1" thickBot="1" x14ac:dyDescent="0.3">
      <c r="A14" s="568"/>
      <c r="B14" s="569"/>
      <c r="C14" s="569"/>
      <c r="D14" s="572" t="s">
        <v>1241</v>
      </c>
      <c r="E14" s="573"/>
      <c r="F14" s="573"/>
      <c r="G14" s="574"/>
      <c r="H14" s="572" t="s">
        <v>25</v>
      </c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69" t="s">
        <v>24</v>
      </c>
      <c r="AA14" s="569"/>
      <c r="AB14" s="569"/>
      <c r="AC14" s="569"/>
      <c r="AD14" s="569"/>
      <c r="AE14" s="571"/>
      <c r="AF14" s="571"/>
      <c r="AG14" s="571"/>
      <c r="AH14" s="571"/>
      <c r="AI14" s="571"/>
      <c r="AJ14" s="543"/>
      <c r="AK14" s="544"/>
      <c r="AL14" s="553"/>
      <c r="AM14" s="543"/>
      <c r="AN14" s="544"/>
      <c r="AO14" s="545"/>
    </row>
    <row r="15" spans="1:41" ht="14" customHeight="1" thickTop="1" x14ac:dyDescent="0.25">
      <c r="A15" s="595">
        <f>'AGG BLEND'!C21</f>
        <v>30</v>
      </c>
      <c r="B15" s="596"/>
      <c r="C15" s="596"/>
      <c r="D15" s="599" t="s">
        <v>2082</v>
      </c>
      <c r="E15" s="600"/>
      <c r="F15" s="600"/>
      <c r="G15" s="601"/>
      <c r="H15" s="589" t="str">
        <f>IF(D15&lt;&gt;"",VLOOKUP(D15,'Aggregate Sources'!$A$2:$E$1000,2,FALSE),"")</f>
        <v>Hot Mix USA Crushed Stone - Columbus, OH</v>
      </c>
      <c r="I15" s="59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  <c r="W15" s="590"/>
      <c r="X15" s="590"/>
      <c r="Y15" s="590"/>
      <c r="Z15" s="594" t="str">
        <f>IF(D15&lt;&gt;"",IF(ISNUMBER(FIND("Limestone",VLOOKUP(D15,'Aggregate Sources'!$A$2:$E$1000,5,FALSE),1)),"Limestone",IF(ISNUMBER(FIND("Dolostone",VLOOKUP(D15,'Aggregate Sources'!$A$2:$E$1000,5,FALSE),1)),"Limestone",IF(ISNUMBER(FIND("Sand &amp; Gravel (Crushed)",VLOOKUP(D15,'Aggregate Sources'!$A$2:$E$1000,5,FALSE),1)),"Crushed Gravel",IF(ISNUMBER(FIND("Sand &amp; Gravel",VLOOKUP(D15,'Aggregate Sources'!$A$2:$E$1000,5,FALSE),1)),"Natural Gravel",IF(ISNUMBER(FIND("Trap Rock",VLOOKUP(D15,'Aggregate Sources'!$A$2:$E$1000,5,FALSE),1)),"Trap Rock",IF(ISNUMBER(FIND("ACBF Slag",VLOOKUP(D15,'Aggregate Sources'!$A$2:$E$1000,5,FALSE),1)),"ACBF Slag",IF(ISNUMBER(FIND("Slag (ACBF)",VLOOKUP(D15,'Aggregate Sources'!$A$2:$E$1000,5,FALSE),1)),"ACBF Slag",IF(ISNUMBER(FIND("Slag (EAF Steel)",VLOOKUP(D15,'Aggregate Sources'!$A$2:$E$1000,5,FALSE),1)),"EAF Slag",IF(ISNUMBER(FIND("Slag (BO Steel)",VLOOKUP(D15,'Aggregate Sources'!$A$2:$E$1000,5,FALSE),1)),"BO Slag",IF(ISNUMBER(FIND("Slag (Granulated)",VLOOKUP(D15,'Aggregate Sources'!$A$2:$E$1000,5,FALSE),1)),"Granulated Slag",IF(ISNUMBER(FIND("Slag",VLOOKUP(D15,'Aggregate Sources'!$A$2:$E$1000,5,FALSE),1)),"Slag","Invalid Source"))))))))))),"")</f>
        <v>Limestone</v>
      </c>
      <c r="AA15" s="594"/>
      <c r="AB15" s="594"/>
      <c r="AC15" s="594"/>
      <c r="AD15" s="594"/>
      <c r="AE15" s="597" t="s">
        <v>1272</v>
      </c>
      <c r="AF15" s="597"/>
      <c r="AG15" s="597"/>
      <c r="AH15" s="597"/>
      <c r="AI15" s="597"/>
      <c r="AJ15" s="554">
        <v>2.6509999999999998</v>
      </c>
      <c r="AK15" s="555"/>
      <c r="AL15" s="556"/>
      <c r="AM15" s="546">
        <f>IF(AE15&lt;&gt;"",ROUND(VLOOKUP(D15&amp;"_"&amp;AE15,'2024 ODOT Gsb'!$C$2:$D$1200,2,FALSE),3),"")</f>
        <v>2.6509999999999998</v>
      </c>
      <c r="AN15" s="547"/>
      <c r="AO15" s="548"/>
    </row>
    <row r="16" spans="1:41" ht="14" customHeight="1" x14ac:dyDescent="0.25">
      <c r="A16" s="592">
        <f>'AGG BLEND'!E21</f>
        <v>12</v>
      </c>
      <c r="B16" s="593"/>
      <c r="C16" s="593"/>
      <c r="D16" s="581" t="s">
        <v>2084</v>
      </c>
      <c r="E16" s="582"/>
      <c r="F16" s="582"/>
      <c r="G16" s="583"/>
      <c r="H16" s="474" t="str">
        <f>IF(D16&lt;&gt;"",VLOOKUP(D16,'Aggregate Sources'!$A$2:$E$1000,2,FALSE),"")</f>
        <v>Hot Mix USA Natural Stone - Columbus, OH</v>
      </c>
      <c r="I16" s="475"/>
      <c r="J16" s="475"/>
      <c r="K16" s="475"/>
      <c r="L16" s="475"/>
      <c r="M16" s="475"/>
      <c r="N16" s="475"/>
      <c r="O16" s="475"/>
      <c r="P16" s="475"/>
      <c r="Q16" s="475"/>
      <c r="R16" s="475"/>
      <c r="S16" s="475"/>
      <c r="T16" s="475"/>
      <c r="U16" s="475"/>
      <c r="V16" s="475"/>
      <c r="W16" s="475"/>
      <c r="X16" s="475"/>
      <c r="Y16" s="475"/>
      <c r="Z16" s="591" t="str">
        <f>IF(D16&lt;&gt;"",IF(ISNUMBER(FIND("Limestone",VLOOKUP(D16,'Aggregate Sources'!$A$2:$E$1000,5,FALSE),1)),"Limestone",IF(ISNUMBER(FIND("Dolostone",VLOOKUP(D16,'Aggregate Sources'!$A$2:$E$1000,5,FALSE),1)),"Limestone",IF(ISNUMBER(FIND("Sand &amp; Gravel (Crushed)",VLOOKUP(D16,'Aggregate Sources'!$A$2:$E$1000,5,FALSE),1)),"Crushed Gravel",IF(ISNUMBER(FIND("Sand &amp; Gravel",VLOOKUP(D16,'Aggregate Sources'!$A$2:$E$1000,5,FALSE),1)),"Natural Gravel",IF(ISNUMBER(FIND("Trap Rock",VLOOKUP(D16,'Aggregate Sources'!$A$2:$E$1000,5,FALSE),1)),"Trap Rock",IF(ISNUMBER(FIND("ACBF Slag",VLOOKUP(D16,'Aggregate Sources'!$A$2:$E$1000,5,FALSE),1)),"ACBF Slag",IF(ISNUMBER(FIND("Slag (ACBF)",VLOOKUP(D16,'Aggregate Sources'!$A$2:$E$1000,5,FALSE),1)),"ACBF Slag",IF(ISNUMBER(FIND("Slag (EAF Steel)",VLOOKUP(D16,'Aggregate Sources'!$A$2:$E$1000,5,FALSE),1)),"EAF Slag",IF(ISNUMBER(FIND("Slag (BO Steel)",VLOOKUP(D16,'Aggregate Sources'!$A$2:$E$1000,5,FALSE),1)),"BO Slag",IF(ISNUMBER(FIND("Slag (Granulated)",VLOOKUP(D16,'Aggregate Sources'!$A$2:$E$1000,5,FALSE),1)),"Granulated Slag",IF(ISNUMBER(FIND("Slag",VLOOKUP(D16,'Aggregate Sources'!$A$2:$E$1000,5,FALSE),1)),"Slag","Invalid Source"))))))))))),"")</f>
        <v>Natural Gravel</v>
      </c>
      <c r="AA16" s="591"/>
      <c r="AB16" s="591"/>
      <c r="AC16" s="591"/>
      <c r="AD16" s="591"/>
      <c r="AE16" s="598" t="s">
        <v>1270</v>
      </c>
      <c r="AF16" s="598"/>
      <c r="AG16" s="598"/>
      <c r="AH16" s="598"/>
      <c r="AI16" s="598"/>
      <c r="AJ16" s="557">
        <v>2.6240000000000001</v>
      </c>
      <c r="AK16" s="558"/>
      <c r="AL16" s="559"/>
      <c r="AM16" s="537">
        <f>IF(AE16&lt;&gt;"",ROUND(VLOOKUP(D16&amp;"_"&amp;AE16,'2024 ODOT Gsb'!$C$2:$D$1200,2,FALSE),3),"")</f>
        <v>2.6240000000000001</v>
      </c>
      <c r="AN16" s="538"/>
      <c r="AO16" s="539"/>
    </row>
    <row r="17" spans="1:41" ht="14" customHeight="1" x14ac:dyDescent="0.25">
      <c r="A17" s="592">
        <f>'AGG BLEND'!G21</f>
        <v>0</v>
      </c>
      <c r="B17" s="593"/>
      <c r="C17" s="593"/>
      <c r="D17" s="581"/>
      <c r="E17" s="582"/>
      <c r="F17" s="582"/>
      <c r="G17" s="583"/>
      <c r="H17" s="474" t="str">
        <f>IF(D17&lt;&gt;"",VLOOKUP(D17,'Aggregate Sources'!$A$2:$E$1000,2,FALSE),"")</f>
        <v/>
      </c>
      <c r="I17" s="475"/>
      <c r="J17" s="475"/>
      <c r="K17" s="475"/>
      <c r="L17" s="475"/>
      <c r="M17" s="475"/>
      <c r="N17" s="475"/>
      <c r="O17" s="475"/>
      <c r="P17" s="475"/>
      <c r="Q17" s="475"/>
      <c r="R17" s="475"/>
      <c r="S17" s="475"/>
      <c r="T17" s="475"/>
      <c r="U17" s="475"/>
      <c r="V17" s="475"/>
      <c r="W17" s="475"/>
      <c r="X17" s="475"/>
      <c r="Y17" s="475"/>
      <c r="Z17" s="591" t="str">
        <f>IF(D17&lt;&gt;"",IF(ISNUMBER(FIND("Limestone",VLOOKUP(D17,'Aggregate Sources'!$A$2:$E$1000,5,FALSE),1)),"Limestone",IF(ISNUMBER(FIND("Dolostone",VLOOKUP(D17,'Aggregate Sources'!$A$2:$E$1000,5,FALSE),1)),"Limestone",IF(ISNUMBER(FIND("Sand &amp; Gravel (Crushed)",VLOOKUP(D17,'Aggregate Sources'!$A$2:$E$1000,5,FALSE),1)),"Crushed Gravel",IF(ISNUMBER(FIND("Sand &amp; Gravel",VLOOKUP(D17,'Aggregate Sources'!$A$2:$E$1000,5,FALSE),1)),"Natural Gravel",IF(ISNUMBER(FIND("Trap Rock",VLOOKUP(D17,'Aggregate Sources'!$A$2:$E$1000,5,FALSE),1)),"Trap Rock",IF(ISNUMBER(FIND("ACBF Slag",VLOOKUP(D17,'Aggregate Sources'!$A$2:$E$1000,5,FALSE),1)),"ACBF Slag",IF(ISNUMBER(FIND("Slag (ACBF)",VLOOKUP(D17,'Aggregate Sources'!$A$2:$E$1000,5,FALSE),1)),"ACBF Slag",IF(ISNUMBER(FIND("Slag (EAF Steel)",VLOOKUP(D17,'Aggregate Sources'!$A$2:$E$1000,5,FALSE),1)),"EAF Slag",IF(ISNUMBER(FIND("Slag (BO Steel)",VLOOKUP(D17,'Aggregate Sources'!$A$2:$E$1000,5,FALSE),1)),"BO Slag",IF(ISNUMBER(FIND("Slag (Granulated)",VLOOKUP(D17,'Aggregate Sources'!$A$2:$E$1000,5,FALSE),1)),"Granulated Slag",IF(ISNUMBER(FIND("Slag",VLOOKUP(D17,'Aggregate Sources'!$A$2:$E$1000,5,FALSE),1)),"Slag","Invalid Source"))))))))))),"")</f>
        <v/>
      </c>
      <c r="AA17" s="591"/>
      <c r="AB17" s="591"/>
      <c r="AC17" s="591"/>
      <c r="AD17" s="591"/>
      <c r="AE17" s="598"/>
      <c r="AF17" s="598"/>
      <c r="AG17" s="598"/>
      <c r="AH17" s="598"/>
      <c r="AI17" s="598"/>
      <c r="AJ17" s="557"/>
      <c r="AK17" s="558"/>
      <c r="AL17" s="559"/>
      <c r="AM17" s="537" t="str">
        <f>IF(AE17&lt;&gt;"",ROUND(VLOOKUP(D17&amp;"_"&amp;AE17,'2024 ODOT Gsb'!$C$2:$D$1200,2,FALSE),3),"")</f>
        <v/>
      </c>
      <c r="AN17" s="538"/>
      <c r="AO17" s="539"/>
    </row>
    <row r="18" spans="1:41" ht="14" customHeight="1" thickBot="1" x14ac:dyDescent="0.3">
      <c r="A18" s="578">
        <f>'AGG BLEND'!I21</f>
        <v>0</v>
      </c>
      <c r="B18" s="579"/>
      <c r="C18" s="579"/>
      <c r="D18" s="584"/>
      <c r="E18" s="585"/>
      <c r="F18" s="585"/>
      <c r="G18" s="586"/>
      <c r="H18" s="587" t="str">
        <f>IF(D18&lt;&gt;"",VLOOKUP(D18,'Aggregate Sources'!$A$2:$E$1000,2,FALSE),"")</f>
        <v/>
      </c>
      <c r="I18" s="588"/>
      <c r="J18" s="588"/>
      <c r="K18" s="588"/>
      <c r="L18" s="588"/>
      <c r="M18" s="588"/>
      <c r="N18" s="588"/>
      <c r="O18" s="588"/>
      <c r="P18" s="588"/>
      <c r="Q18" s="588"/>
      <c r="R18" s="588"/>
      <c r="S18" s="588"/>
      <c r="T18" s="588"/>
      <c r="U18" s="588"/>
      <c r="V18" s="588"/>
      <c r="W18" s="588"/>
      <c r="X18" s="588"/>
      <c r="Y18" s="588"/>
      <c r="Z18" s="580" t="str">
        <f>IF(D18&lt;&gt;"",IF(ISNUMBER(FIND("Limestone",VLOOKUP(D18,'Aggregate Sources'!$A$2:$E$1000,5,FALSE),1)),"Limestone",IF(ISNUMBER(FIND("Dolostone",VLOOKUP(D18,'Aggregate Sources'!$A$2:$E$1000,5,FALSE),1)),"Limestone",IF(ISNUMBER(FIND("Sand &amp; Gravel (Crushed)",VLOOKUP(D18,'Aggregate Sources'!$A$2:$E$1000,5,FALSE),1)),"Crushed Gravel",IF(ISNUMBER(FIND("Sand &amp; Gravel",VLOOKUP(D18,'Aggregate Sources'!$A$2:$E$1000,5,FALSE),1)),"Natural Gravel",IF(ISNUMBER(FIND("Trap Rock",VLOOKUP(D18,'Aggregate Sources'!$A$2:$E$1000,5,FALSE),1)),"Trap Rock",IF(ISNUMBER(FIND("ACBF Slag",VLOOKUP(D18,'Aggregate Sources'!$A$2:$E$1000,5,FALSE),1)),"ACBF Slag",IF(ISNUMBER(FIND("Slag (ACBF)",VLOOKUP(D18,'Aggregate Sources'!$A$2:$E$1000,5,FALSE),1)),"ACBF Slag",IF(ISNUMBER(FIND("Slag (EAF Steel)",VLOOKUP(D18,'Aggregate Sources'!$A$2:$E$1000,5,FALSE),1)),"EAF Slag",IF(ISNUMBER(FIND("Slag (BO Steel)",VLOOKUP(D18,'Aggregate Sources'!$A$2:$E$1000,5,FALSE),1)),"BO Slag",IF(ISNUMBER(FIND("Slag (Granulated)",VLOOKUP(D18,'Aggregate Sources'!$A$2:$E$1000,5,FALSE),1)),"Granulated Slag",IF(ISNUMBER(FIND("Slag",VLOOKUP(D18,'Aggregate Sources'!$A$2:$E$1000,5,FALSE),1)),"Slag","Invalid Source"))))))))))),"")</f>
        <v/>
      </c>
      <c r="AA18" s="580"/>
      <c r="AB18" s="580"/>
      <c r="AC18" s="580"/>
      <c r="AD18" s="580"/>
      <c r="AE18" s="577"/>
      <c r="AF18" s="577"/>
      <c r="AG18" s="577"/>
      <c r="AH18" s="577"/>
      <c r="AI18" s="577"/>
      <c r="AJ18" s="560"/>
      <c r="AK18" s="561"/>
      <c r="AL18" s="562"/>
      <c r="AM18" s="549" t="str">
        <f>IF(AE18&lt;&gt;"",ROUND(VLOOKUP(D18&amp;"_"&amp;AE18,'2024 ODOT Gsb'!$C$2:$D$1200,2,FALSE),3),"")</f>
        <v/>
      </c>
      <c r="AN18" s="550"/>
      <c r="AO18" s="551"/>
    </row>
    <row r="19" spans="1:41" ht="14" customHeight="1" thickBot="1" x14ac:dyDescent="0.3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</row>
    <row r="20" spans="1:41" ht="14" customHeight="1" x14ac:dyDescent="0.25">
      <c r="A20" s="563" t="s">
        <v>183</v>
      </c>
      <c r="B20" s="564"/>
      <c r="C20" s="564"/>
      <c r="D20" s="564"/>
      <c r="E20" s="564"/>
      <c r="F20" s="564"/>
      <c r="G20" s="564"/>
      <c r="H20" s="564"/>
      <c r="I20" s="564"/>
      <c r="J20" s="564"/>
      <c r="K20" s="564"/>
      <c r="L20" s="564"/>
      <c r="M20" s="564"/>
      <c r="N20" s="564"/>
      <c r="O20" s="564"/>
      <c r="P20" s="564"/>
      <c r="Q20" s="564"/>
      <c r="R20" s="564"/>
      <c r="S20" s="564"/>
      <c r="T20" s="564"/>
      <c r="U20" s="564"/>
      <c r="V20" s="564"/>
      <c r="W20" s="564"/>
      <c r="X20" s="564"/>
      <c r="Y20" s="564"/>
      <c r="Z20" s="564"/>
      <c r="AA20" s="564"/>
      <c r="AB20" s="564"/>
      <c r="AC20" s="564"/>
      <c r="AD20" s="564"/>
      <c r="AE20" s="564"/>
      <c r="AF20" s="564"/>
      <c r="AG20" s="564"/>
      <c r="AH20" s="564"/>
      <c r="AI20" s="564"/>
      <c r="AJ20" s="564"/>
      <c r="AK20" s="564"/>
      <c r="AL20" s="564"/>
      <c r="AM20" s="564"/>
      <c r="AN20" s="564"/>
      <c r="AO20" s="565"/>
    </row>
    <row r="21" spans="1:41" ht="14" customHeight="1" x14ac:dyDescent="0.25">
      <c r="A21" s="566" t="s">
        <v>22</v>
      </c>
      <c r="B21" s="567"/>
      <c r="C21" s="567"/>
      <c r="D21" s="575" t="s">
        <v>314</v>
      </c>
      <c r="E21" s="576"/>
      <c r="F21" s="576"/>
      <c r="G21" s="576"/>
      <c r="H21" s="576"/>
      <c r="I21" s="576"/>
      <c r="J21" s="576"/>
      <c r="K21" s="576"/>
      <c r="L21" s="576"/>
      <c r="M21" s="576"/>
      <c r="N21" s="576"/>
      <c r="O21" s="576"/>
      <c r="P21" s="576"/>
      <c r="Q21" s="576"/>
      <c r="R21" s="576"/>
      <c r="S21" s="576"/>
      <c r="T21" s="576"/>
      <c r="U21" s="576"/>
      <c r="V21" s="576"/>
      <c r="W21" s="576"/>
      <c r="X21" s="576"/>
      <c r="Y21" s="576"/>
      <c r="Z21" s="576"/>
      <c r="AA21" s="576"/>
      <c r="AB21" s="576"/>
      <c r="AC21" s="576"/>
      <c r="AD21" s="606"/>
      <c r="AE21" s="540" t="s">
        <v>23</v>
      </c>
      <c r="AF21" s="541"/>
      <c r="AG21" s="541"/>
      <c r="AH21" s="541"/>
      <c r="AI21" s="552"/>
      <c r="AJ21" s="540" t="s">
        <v>291</v>
      </c>
      <c r="AK21" s="541"/>
      <c r="AL21" s="552"/>
      <c r="AM21" s="540" t="s">
        <v>1315</v>
      </c>
      <c r="AN21" s="541"/>
      <c r="AO21" s="542"/>
    </row>
    <row r="22" spans="1:41" ht="14" customHeight="1" thickBot="1" x14ac:dyDescent="0.3">
      <c r="A22" s="568"/>
      <c r="B22" s="569"/>
      <c r="C22" s="569"/>
      <c r="D22" s="572" t="s">
        <v>1241</v>
      </c>
      <c r="E22" s="573"/>
      <c r="F22" s="573"/>
      <c r="G22" s="574"/>
      <c r="H22" s="572" t="s">
        <v>25</v>
      </c>
      <c r="I22" s="573"/>
      <c r="J22" s="573"/>
      <c r="K22" s="573"/>
      <c r="L22" s="573"/>
      <c r="M22" s="573"/>
      <c r="N22" s="573"/>
      <c r="O22" s="573"/>
      <c r="P22" s="573"/>
      <c r="Q22" s="573"/>
      <c r="R22" s="573"/>
      <c r="S22" s="573"/>
      <c r="T22" s="573"/>
      <c r="U22" s="573"/>
      <c r="V22" s="573"/>
      <c r="W22" s="573"/>
      <c r="X22" s="573"/>
      <c r="Y22" s="574"/>
      <c r="Z22" s="569" t="s">
        <v>24</v>
      </c>
      <c r="AA22" s="569"/>
      <c r="AB22" s="569"/>
      <c r="AC22" s="569"/>
      <c r="AD22" s="569"/>
      <c r="AE22" s="543"/>
      <c r="AF22" s="544"/>
      <c r="AG22" s="544"/>
      <c r="AH22" s="544"/>
      <c r="AI22" s="553"/>
      <c r="AJ22" s="543"/>
      <c r="AK22" s="544"/>
      <c r="AL22" s="553"/>
      <c r="AM22" s="543"/>
      <c r="AN22" s="544"/>
      <c r="AO22" s="545"/>
    </row>
    <row r="23" spans="1:41" ht="14" customHeight="1" thickTop="1" x14ac:dyDescent="0.25">
      <c r="A23" s="595">
        <f>'AGG BLEND'!K21</f>
        <v>21</v>
      </c>
      <c r="B23" s="596"/>
      <c r="C23" s="596"/>
      <c r="D23" s="599" t="s">
        <v>2084</v>
      </c>
      <c r="E23" s="600"/>
      <c r="F23" s="600"/>
      <c r="G23" s="601"/>
      <c r="H23" s="589" t="str">
        <f>IF(D23&lt;&gt;"",VLOOKUP(D23,'Aggregate Sources'!$A$2:$E$1000,2,FALSE),"")</f>
        <v>Hot Mix USA Natural Stone - Columbus, OH</v>
      </c>
      <c r="I23" s="59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  <c r="W23" s="590"/>
      <c r="X23" s="590"/>
      <c r="Y23" s="602"/>
      <c r="Z23" s="594" t="str">
        <f>IF(D23&lt;&gt;"",IF(ISNUMBER(FIND("Limestone",VLOOKUP(D23,'Aggregate Sources'!$A$2:$E$1000,5,FALSE),1)),"Limestone",IF(ISNUMBER(FIND("Dolostone",VLOOKUP(D23,'Aggregate Sources'!$A$2:$E$1000,5,FALSE),1)),"Limestone",IF(ISNUMBER(FIND("Sand &amp; Gravel (Crushed)",VLOOKUP(D23,'Aggregate Sources'!$A$2:$E$1000,5,FALSE),1)),"Crushed Sand",IF(ISNUMBER(FIND("Sand &amp; Gravel",VLOOKUP(D23,'Aggregate Sources'!$A$2:$E$1000,5,FALSE),1)),"Natural Sand",IF(ISNUMBER(FIND("Trap Rock",VLOOKUP(D23,'Aggregate Sources'!$A$2:$E$1000,5,FALSE),1)),"Trap Rock",IF(ISNUMBER(FIND("ACBF Slag",VLOOKUP(D23,'Aggregate Sources'!$A$2:$E$1000,5,FALSE),1)),"ACBF Slag",IF(ISNUMBER(FIND("Slag (ACBF)",VLOOKUP(D23,'Aggregate Sources'!$A$2:$E$1000,5,FALSE),1)),"ACBF Slag",IF(ISNUMBER(FIND("Slag (EAF Steel)",VLOOKUP(D23,'Aggregate Sources'!$A$2:$E$1000,5,FALSE),1)),"EAF Slag",IF(ISNUMBER(FIND("Slag (BO Steel)",VLOOKUP(D23,'Aggregate Sources'!$A$2:$E$1000,5,FALSE),1)),"BO Slag",IF(ISNUMBER(FIND("Slag (Granulated)",VLOOKUP(D23,'Aggregate Sources'!$A$2:$E$1000,5,FALSE),1)),"Granulated Slag",IF(ISNUMBER(FIND("Slag",VLOOKUP(D23,'Aggregate Sources'!$A$2:$E$1000,5,FALSE),1)),"Slag","Invalid Source"))))))))))),"")</f>
        <v>Natural Sand</v>
      </c>
      <c r="AA23" s="594"/>
      <c r="AB23" s="594"/>
      <c r="AC23" s="594"/>
      <c r="AD23" s="594"/>
      <c r="AE23" s="607" t="s">
        <v>1274</v>
      </c>
      <c r="AF23" s="608"/>
      <c r="AG23" s="608"/>
      <c r="AH23" s="608"/>
      <c r="AI23" s="609"/>
      <c r="AJ23" s="554">
        <v>2.6480000000000001</v>
      </c>
      <c r="AK23" s="555"/>
      <c r="AL23" s="556"/>
      <c r="AM23" s="546">
        <f>IF(AE23&lt;&gt;"",ROUND(VLOOKUP(D23&amp;"_"&amp;AE23,'2024 ODOT Gsb'!$C$2:$D$1200,2,FALSE),3),"")</f>
        <v>2.6480000000000001</v>
      </c>
      <c r="AN23" s="547"/>
      <c r="AO23" s="548"/>
    </row>
    <row r="24" spans="1:41" ht="14" customHeight="1" x14ac:dyDescent="0.25">
      <c r="A24" s="592">
        <f>'AGG BLEND'!M21</f>
        <v>0</v>
      </c>
      <c r="B24" s="593"/>
      <c r="C24" s="593"/>
      <c r="D24" s="581"/>
      <c r="E24" s="582"/>
      <c r="F24" s="582"/>
      <c r="G24" s="583"/>
      <c r="H24" s="474" t="str">
        <f>IF(D24&lt;&gt;"",VLOOKUP(D24,'Aggregate Sources'!$A$2:$E$1000,2,FALSE),"")</f>
        <v/>
      </c>
      <c r="I24" s="475"/>
      <c r="J24" s="475"/>
      <c r="K24" s="475"/>
      <c r="L24" s="475"/>
      <c r="M24" s="475"/>
      <c r="N24" s="475"/>
      <c r="O24" s="475"/>
      <c r="P24" s="475"/>
      <c r="Q24" s="475"/>
      <c r="R24" s="475"/>
      <c r="S24" s="475"/>
      <c r="T24" s="475"/>
      <c r="U24" s="475"/>
      <c r="V24" s="475"/>
      <c r="W24" s="475"/>
      <c r="X24" s="475"/>
      <c r="Y24" s="476"/>
      <c r="Z24" s="591" t="str">
        <f>IF(D24&lt;&gt;"",IF(ISNUMBER(FIND("Limestone",VLOOKUP(D24,'Aggregate Sources'!$A$2:$E$1000,5,FALSE),1)),"Limestone",IF(ISNUMBER(FIND("Dolostone",VLOOKUP(D24,'Aggregate Sources'!$A$2:$E$1000,5,FALSE),1)),"Limestone",IF(ISNUMBER(FIND("Sand &amp; Gravel (Crushed)",VLOOKUP(D24,'Aggregate Sources'!$A$2:$E$1000,5,FALSE),1)),"Crushed Sand",IF(ISNUMBER(FIND("Sand &amp; Gravel",VLOOKUP(D24,'Aggregate Sources'!$A$2:$E$1000,5,FALSE),1)),"Natural Sand",IF(ISNUMBER(FIND("Trap Rock",VLOOKUP(D24,'Aggregate Sources'!$A$2:$E$1000,5,FALSE),1)),"Trap Rock",IF(ISNUMBER(FIND("ACBF Slag",VLOOKUP(D24,'Aggregate Sources'!$A$2:$E$1000,5,FALSE),1)),"ACBF Slag",IF(ISNUMBER(FIND("Slag (ACBF)",VLOOKUP(D24,'Aggregate Sources'!$A$2:$E$1000,5,FALSE),1)),"ACBF Slag",IF(ISNUMBER(FIND("Slag (EAF Steel)",VLOOKUP(D24,'Aggregate Sources'!$A$2:$E$1000,5,FALSE),1)),"EAF Slag",IF(ISNUMBER(FIND("Slag (BO Steel)",VLOOKUP(D24,'Aggregate Sources'!$A$2:$E$1000,5,FALSE),1)),"BO Slag",IF(ISNUMBER(FIND("Slag (Granulated)",VLOOKUP(D24,'Aggregate Sources'!$A$2:$E$1000,5,FALSE),1)),"Granulated Slag",IF(ISNUMBER(FIND("Slag",VLOOKUP(D24,'Aggregate Sources'!$A$2:$E$1000,5,FALSE),1)),"Slag","Invalid Source"))))))))))),"")</f>
        <v/>
      </c>
      <c r="AA24" s="591"/>
      <c r="AB24" s="591"/>
      <c r="AC24" s="591"/>
      <c r="AD24" s="591"/>
      <c r="AE24" s="618"/>
      <c r="AF24" s="619"/>
      <c r="AG24" s="619"/>
      <c r="AH24" s="619"/>
      <c r="AI24" s="620"/>
      <c r="AJ24" s="557"/>
      <c r="AK24" s="558"/>
      <c r="AL24" s="559"/>
      <c r="AM24" s="537" t="str">
        <f>IF(AE24&lt;&gt;"",ROUND(VLOOKUP(D24&amp;"_"&amp;AE24,'2024 ODOT Gsb'!$C$2:$D$1200,2,FALSE),3),"")</f>
        <v/>
      </c>
      <c r="AN24" s="538"/>
      <c r="AO24" s="539"/>
    </row>
    <row r="25" spans="1:41" ht="14" customHeight="1" x14ac:dyDescent="0.25">
      <c r="A25" s="592">
        <f>'AGG BLEND'!O21</f>
        <v>0</v>
      </c>
      <c r="B25" s="593"/>
      <c r="C25" s="593"/>
      <c r="D25" s="581"/>
      <c r="E25" s="582"/>
      <c r="F25" s="582"/>
      <c r="G25" s="583"/>
      <c r="H25" s="474" t="str">
        <f>IF(D25&lt;&gt;"",VLOOKUP(D25,'Aggregate Sources'!$A$2:$E$1000,2,FALSE),"")</f>
        <v/>
      </c>
      <c r="I25" s="475"/>
      <c r="J25" s="475"/>
      <c r="K25" s="475"/>
      <c r="L25" s="475"/>
      <c r="M25" s="475"/>
      <c r="N25" s="475"/>
      <c r="O25" s="475"/>
      <c r="P25" s="475"/>
      <c r="Q25" s="475"/>
      <c r="R25" s="475"/>
      <c r="S25" s="475"/>
      <c r="T25" s="475"/>
      <c r="U25" s="475"/>
      <c r="V25" s="475"/>
      <c r="W25" s="475"/>
      <c r="X25" s="475"/>
      <c r="Y25" s="476"/>
      <c r="Z25" s="591" t="str">
        <f>IF(D25&lt;&gt;"",IF(ISNUMBER(FIND("Limestone",VLOOKUP(D25,'Aggregate Sources'!$A$2:$E$1000,5,FALSE),1)),"Limestone",IF(ISNUMBER(FIND("Dolostone",VLOOKUP(D25,'Aggregate Sources'!$A$2:$E$1000,5,FALSE),1)),"Limestone",IF(ISNUMBER(FIND("Sand &amp; Gravel (Crushed)",VLOOKUP(D25,'Aggregate Sources'!$A$2:$E$1000,5,FALSE),1)),"Crushed Sand",IF(ISNUMBER(FIND("Sand &amp; Gravel",VLOOKUP(D25,'Aggregate Sources'!$A$2:$E$1000,5,FALSE),1)),"Natural Sand",IF(ISNUMBER(FIND("Trap Rock",VLOOKUP(D25,'Aggregate Sources'!$A$2:$E$1000,5,FALSE),1)),"Trap Rock",IF(ISNUMBER(FIND("ACBF Slag",VLOOKUP(D25,'Aggregate Sources'!$A$2:$E$1000,5,FALSE),1)),"ACBF Slag",IF(ISNUMBER(FIND("Slag (ACBF)",VLOOKUP(D25,'Aggregate Sources'!$A$2:$E$1000,5,FALSE),1)),"ACBF Slag",IF(ISNUMBER(FIND("Slag (EAF Steel)",VLOOKUP(D25,'Aggregate Sources'!$A$2:$E$1000,5,FALSE),1)),"EAF Slag",IF(ISNUMBER(FIND("Slag (BO Steel)",VLOOKUP(D25,'Aggregate Sources'!$A$2:$E$1000,5,FALSE),1)),"BO Slag",IF(ISNUMBER(FIND("Slag (Granulated)",VLOOKUP(D25,'Aggregate Sources'!$A$2:$E$1000,5,FALSE),1)),"Granulated Slag",IF(ISNUMBER(FIND("Slag",VLOOKUP(D25,'Aggregate Sources'!$A$2:$E$1000,5,FALSE),1)),"Slag","Invalid Source"))))))))))),"")</f>
        <v/>
      </c>
      <c r="AA25" s="591"/>
      <c r="AB25" s="591"/>
      <c r="AC25" s="591"/>
      <c r="AD25" s="591"/>
      <c r="AE25" s="618"/>
      <c r="AF25" s="619"/>
      <c r="AG25" s="619"/>
      <c r="AH25" s="619"/>
      <c r="AI25" s="620"/>
      <c r="AJ25" s="557"/>
      <c r="AK25" s="558"/>
      <c r="AL25" s="559"/>
      <c r="AM25" s="537" t="str">
        <f>IF(AE25&lt;&gt;"",ROUND(VLOOKUP(D25&amp;"_"&amp;AE25,'2024 ODOT Gsb'!$C$2:$D$1200,2,FALSE),3),"")</f>
        <v/>
      </c>
      <c r="AN25" s="538"/>
      <c r="AO25" s="539"/>
    </row>
    <row r="26" spans="1:41" ht="14" customHeight="1" thickBot="1" x14ac:dyDescent="0.3">
      <c r="A26" s="578">
        <f>'AGG BLEND'!Q21</f>
        <v>0</v>
      </c>
      <c r="B26" s="579"/>
      <c r="C26" s="579"/>
      <c r="D26" s="584"/>
      <c r="E26" s="585"/>
      <c r="F26" s="585"/>
      <c r="G26" s="586"/>
      <c r="H26" s="603" t="str">
        <f>IF(D26&lt;&gt;"",VLOOKUP(D26,'Aggregate Sources'!$A$2:$E$1000,2,FALSE),"")</f>
        <v/>
      </c>
      <c r="I26" s="604"/>
      <c r="J26" s="604"/>
      <c r="K26" s="604"/>
      <c r="L26" s="604"/>
      <c r="M26" s="604"/>
      <c r="N26" s="604"/>
      <c r="O26" s="604"/>
      <c r="P26" s="604"/>
      <c r="Q26" s="604"/>
      <c r="R26" s="604"/>
      <c r="S26" s="604"/>
      <c r="T26" s="604"/>
      <c r="U26" s="604"/>
      <c r="V26" s="604"/>
      <c r="W26" s="604"/>
      <c r="X26" s="604"/>
      <c r="Y26" s="605"/>
      <c r="Z26" s="580" t="str">
        <f>IF(D26&lt;&gt;"",IF(ISNUMBER(FIND("Limestone",VLOOKUP(D26,'Aggregate Sources'!$A$2:$E$1000,5,FALSE),1)),"Limestone",IF(ISNUMBER(FIND("Dolostone",VLOOKUP(D26,'Aggregate Sources'!$A$2:$E$1000,5,FALSE),1)),"Limestone",IF(ISNUMBER(FIND("Sand &amp; Gravel (Crushed)",VLOOKUP(D26,'Aggregate Sources'!$A$2:$E$1000,5,FALSE),1)),"Crushed Sand",IF(ISNUMBER(FIND("Sand &amp; Gravel",VLOOKUP(D26,'Aggregate Sources'!$A$2:$E$1000,5,FALSE),1)),"Natural Sand",IF(ISNUMBER(FIND("Trap Rock",VLOOKUP(D26,'Aggregate Sources'!$A$2:$E$1000,5,FALSE),1)),"Trap Rock",IF(ISNUMBER(FIND("ACBF Slag",VLOOKUP(D26,'Aggregate Sources'!$A$2:$E$1000,5,FALSE),1)),"ACBF Slag",IF(ISNUMBER(FIND("Slag (ACBF)",VLOOKUP(D26,'Aggregate Sources'!$A$2:$E$1000,5,FALSE),1)),"ACBF Slag",IF(ISNUMBER(FIND("Slag (EAF Steel)",VLOOKUP(D26,'Aggregate Sources'!$A$2:$E$1000,5,FALSE),1)),"EAF Slag",IF(ISNUMBER(FIND("Slag (BO Steel)",VLOOKUP(D26,'Aggregate Sources'!$A$2:$E$1000,5,FALSE),1)),"BO Slag",IF(ISNUMBER(FIND("Slag (Granulated)",VLOOKUP(D26,'Aggregate Sources'!$A$2:$E$1000,5,FALSE),1)),"Granulated Slag",IF(ISNUMBER(FIND("Slag",VLOOKUP(D26,'Aggregate Sources'!$A$2:$E$1000,5,FALSE),1)),"Slag","Invalid Source"))))))))))),"")</f>
        <v/>
      </c>
      <c r="AA26" s="580"/>
      <c r="AB26" s="580"/>
      <c r="AC26" s="580"/>
      <c r="AD26" s="580"/>
      <c r="AE26" s="621"/>
      <c r="AF26" s="622"/>
      <c r="AG26" s="622"/>
      <c r="AH26" s="622"/>
      <c r="AI26" s="623"/>
      <c r="AJ26" s="560"/>
      <c r="AK26" s="561"/>
      <c r="AL26" s="562"/>
      <c r="AM26" s="549" t="str">
        <f>IF(AE26&lt;&gt;"",ROUND(VLOOKUP(D26&amp;"_"&amp;AE26,'2024 ODOT Gsb'!$C$2:$D$1200,2,FALSE),3),"")</f>
        <v/>
      </c>
      <c r="AN26" s="550"/>
      <c r="AO26" s="551"/>
    </row>
    <row r="27" spans="1:41" ht="14" customHeight="1" thickBot="1" x14ac:dyDescent="0.3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ht="14" customHeight="1" x14ac:dyDescent="0.25">
      <c r="A28" s="563" t="s">
        <v>364</v>
      </c>
      <c r="B28" s="564"/>
      <c r="C28" s="564"/>
      <c r="D28" s="564"/>
      <c r="E28" s="564"/>
      <c r="F28" s="564"/>
      <c r="G28" s="564"/>
      <c r="H28" s="564"/>
      <c r="I28" s="564"/>
      <c r="J28" s="564"/>
      <c r="K28" s="564"/>
      <c r="L28" s="564"/>
      <c r="M28" s="564"/>
      <c r="N28" s="564"/>
      <c r="O28" s="564"/>
      <c r="P28" s="564"/>
      <c r="Q28" s="564"/>
      <c r="R28" s="564"/>
      <c r="S28" s="564"/>
      <c r="T28" s="564"/>
      <c r="U28" s="564"/>
      <c r="V28" s="564"/>
      <c r="W28" s="564"/>
      <c r="X28" s="564"/>
      <c r="Y28" s="564"/>
      <c r="Z28" s="564"/>
      <c r="AA28" s="564"/>
      <c r="AB28" s="564"/>
      <c r="AC28" s="564"/>
      <c r="AD28" s="564"/>
      <c r="AE28" s="564"/>
      <c r="AF28" s="564"/>
      <c r="AG28" s="564"/>
      <c r="AH28" s="564"/>
      <c r="AI28" s="564"/>
      <c r="AJ28" s="564"/>
      <c r="AK28" s="564"/>
      <c r="AL28" s="564"/>
      <c r="AM28" s="564"/>
      <c r="AN28" s="564"/>
      <c r="AO28" s="565"/>
    </row>
    <row r="29" spans="1:41" ht="14" customHeight="1" thickBot="1" x14ac:dyDescent="0.3">
      <c r="A29" s="568" t="s">
        <v>22</v>
      </c>
      <c r="B29" s="569"/>
      <c r="C29" s="569"/>
      <c r="D29" s="569" t="s">
        <v>23</v>
      </c>
      <c r="E29" s="569"/>
      <c r="F29" s="569"/>
      <c r="G29" s="569"/>
      <c r="H29" s="569" t="s">
        <v>24</v>
      </c>
      <c r="I29" s="569"/>
      <c r="J29" s="569"/>
      <c r="K29" s="569"/>
      <c r="L29" s="569"/>
      <c r="M29" s="569" t="s">
        <v>25</v>
      </c>
      <c r="N29" s="569"/>
      <c r="O29" s="569"/>
      <c r="P29" s="569"/>
      <c r="Q29" s="569"/>
      <c r="R29" s="569"/>
      <c r="S29" s="569"/>
      <c r="T29" s="569"/>
      <c r="U29" s="569"/>
      <c r="V29" s="569"/>
      <c r="W29" s="569"/>
      <c r="X29" s="569"/>
      <c r="Y29" s="569"/>
      <c r="Z29" s="569"/>
      <c r="AA29" s="569"/>
      <c r="AB29" s="569"/>
      <c r="AC29" s="569"/>
      <c r="AD29" s="569"/>
      <c r="AE29" s="569"/>
      <c r="AF29" s="569"/>
      <c r="AG29" s="569"/>
      <c r="AH29" s="569"/>
      <c r="AI29" s="569"/>
      <c r="AJ29" s="569"/>
      <c r="AK29" s="569"/>
      <c r="AL29" s="569"/>
      <c r="AM29" s="569" t="s">
        <v>291</v>
      </c>
      <c r="AN29" s="569"/>
      <c r="AO29" s="616"/>
    </row>
    <row r="30" spans="1:41" ht="14" customHeight="1" thickTop="1" thickBot="1" x14ac:dyDescent="0.3">
      <c r="A30" s="613">
        <f>'AGG BLEND'!S21</f>
        <v>2</v>
      </c>
      <c r="B30" s="614"/>
      <c r="C30" s="614"/>
      <c r="D30" s="615" t="s">
        <v>365</v>
      </c>
      <c r="E30" s="615"/>
      <c r="F30" s="615"/>
      <c r="G30" s="615"/>
      <c r="H30" s="610" t="s">
        <v>364</v>
      </c>
      <c r="I30" s="610"/>
      <c r="J30" s="610"/>
      <c r="K30" s="610"/>
      <c r="L30" s="610"/>
      <c r="M30" s="617" t="s">
        <v>2099</v>
      </c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  <c r="AC30" s="617"/>
      <c r="AD30" s="617"/>
      <c r="AE30" s="617"/>
      <c r="AF30" s="617"/>
      <c r="AG30" s="617"/>
      <c r="AH30" s="617"/>
      <c r="AI30" s="617"/>
      <c r="AJ30" s="617"/>
      <c r="AK30" s="617"/>
      <c r="AL30" s="617"/>
      <c r="AM30" s="611">
        <f>IF(A30&gt;0,MIN(AJ23:AJ26),"")</f>
        <v>2.6480000000000001</v>
      </c>
      <c r="AN30" s="611"/>
      <c r="AO30" s="612"/>
    </row>
    <row r="31" spans="1:41" ht="14" customHeight="1" thickBot="1" x14ac:dyDescent="0.3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ht="14" customHeight="1" x14ac:dyDescent="0.25">
      <c r="A32" s="563" t="s">
        <v>107</v>
      </c>
      <c r="B32" s="564"/>
      <c r="C32" s="564"/>
      <c r="D32" s="564"/>
      <c r="E32" s="564"/>
      <c r="F32" s="564"/>
      <c r="G32" s="564"/>
      <c r="H32" s="564"/>
      <c r="I32" s="564"/>
      <c r="J32" s="564"/>
      <c r="K32" s="564"/>
      <c r="L32" s="564"/>
      <c r="M32" s="564"/>
      <c r="N32" s="564"/>
      <c r="O32" s="564"/>
      <c r="P32" s="564"/>
      <c r="Q32" s="564"/>
      <c r="R32" s="564"/>
      <c r="S32" s="564"/>
      <c r="T32" s="564"/>
      <c r="U32" s="564"/>
      <c r="V32" s="564"/>
      <c r="W32" s="564"/>
      <c r="X32" s="564"/>
      <c r="Y32" s="564"/>
      <c r="Z32" s="564"/>
      <c r="AA32" s="564"/>
      <c r="AB32" s="564"/>
      <c r="AC32" s="564"/>
      <c r="AD32" s="564"/>
      <c r="AE32" s="564"/>
      <c r="AF32" s="564"/>
      <c r="AG32" s="564"/>
      <c r="AH32" s="564"/>
      <c r="AI32" s="564"/>
      <c r="AJ32" s="564"/>
      <c r="AK32" s="564"/>
      <c r="AL32" s="564"/>
      <c r="AM32" s="564"/>
      <c r="AN32" s="564"/>
      <c r="AO32" s="565"/>
    </row>
    <row r="33" spans="1:46" ht="14" customHeight="1" thickBot="1" x14ac:dyDescent="0.3">
      <c r="A33" s="568" t="s">
        <v>22</v>
      </c>
      <c r="B33" s="569"/>
      <c r="C33" s="569"/>
      <c r="D33" s="569" t="s">
        <v>46</v>
      </c>
      <c r="E33" s="569"/>
      <c r="F33" s="569"/>
      <c r="G33" s="569"/>
      <c r="H33" s="569" t="s">
        <v>151</v>
      </c>
      <c r="I33" s="569"/>
      <c r="J33" s="569"/>
      <c r="K33" s="569"/>
      <c r="L33" s="569"/>
      <c r="M33" s="569" t="s">
        <v>361</v>
      </c>
      <c r="N33" s="569"/>
      <c r="O33" s="569"/>
      <c r="P33" s="569"/>
      <c r="Q33" s="569"/>
      <c r="R33" s="569"/>
      <c r="S33" s="569"/>
      <c r="T33" s="569"/>
      <c r="U33" s="569"/>
      <c r="V33" s="569"/>
      <c r="W33" s="569"/>
      <c r="X33" s="569"/>
      <c r="Y33" s="569"/>
      <c r="Z33" s="569"/>
      <c r="AA33" s="569"/>
      <c r="AB33" s="569"/>
      <c r="AC33" s="569"/>
      <c r="AD33" s="569"/>
      <c r="AE33" s="569"/>
      <c r="AF33" s="569"/>
      <c r="AG33" s="569" t="s">
        <v>72</v>
      </c>
      <c r="AH33" s="569"/>
      <c r="AI33" s="569"/>
      <c r="AJ33" s="569"/>
      <c r="AK33" s="569"/>
      <c r="AL33" s="569"/>
      <c r="AM33" s="569" t="s">
        <v>100</v>
      </c>
      <c r="AN33" s="569"/>
      <c r="AO33" s="616"/>
    </row>
    <row r="34" spans="1:46" ht="14" customHeight="1" thickTop="1" x14ac:dyDescent="0.25">
      <c r="A34" s="595">
        <f>'AGG BLEND'!U21</f>
        <v>35</v>
      </c>
      <c r="B34" s="596"/>
      <c r="C34" s="596"/>
      <c r="D34" s="596">
        <f>IF(A34&gt;0,'RAP 1'!H28,0)</f>
        <v>5.4</v>
      </c>
      <c r="E34" s="596"/>
      <c r="F34" s="596"/>
      <c r="G34" s="596"/>
      <c r="H34" s="627" t="str">
        <f>IF(A34&gt;0,'RAP 1'!D30,"")</f>
        <v>Method 2</v>
      </c>
      <c r="I34" s="627"/>
      <c r="J34" s="627"/>
      <c r="K34" s="627"/>
      <c r="L34" s="627"/>
      <c r="M34" s="629" t="str">
        <f>IF(A34&gt;0,'RAP 1'!D11,"")</f>
        <v>2024-HMA Mix USA-Plt #21-Columbus-9/16"-GR-A</v>
      </c>
      <c r="N34" s="629"/>
      <c r="O34" s="629"/>
      <c r="P34" s="629"/>
      <c r="Q34" s="629"/>
      <c r="R34" s="629"/>
      <c r="S34" s="629"/>
      <c r="T34" s="629"/>
      <c r="U34" s="629"/>
      <c r="V34" s="629"/>
      <c r="W34" s="629"/>
      <c r="X34" s="629"/>
      <c r="Y34" s="629"/>
      <c r="Z34" s="629"/>
      <c r="AA34" s="629"/>
      <c r="AB34" s="629"/>
      <c r="AC34" s="629"/>
      <c r="AD34" s="629"/>
      <c r="AE34" s="629"/>
      <c r="AF34" s="629"/>
      <c r="AG34" s="624" t="str">
        <f>IF(A34&gt;0,'RAP 1'!H30,"")</f>
        <v>LS</v>
      </c>
      <c r="AH34" s="624"/>
      <c r="AI34" s="624"/>
      <c r="AJ34" s="624"/>
      <c r="AK34" s="624"/>
      <c r="AL34" s="624"/>
      <c r="AM34" s="625">
        <f>IF(A34&gt;0,'RAP MSG'!B20,"")</f>
        <v>2.7097039292265053</v>
      </c>
      <c r="AN34" s="625"/>
      <c r="AO34" s="626"/>
    </row>
    <row r="35" spans="1:46" ht="14" customHeight="1" x14ac:dyDescent="0.25">
      <c r="A35" s="592">
        <f>'AGG BLEND'!W21</f>
        <v>0</v>
      </c>
      <c r="B35" s="593"/>
      <c r="C35" s="593"/>
      <c r="D35" s="593">
        <f>IF(A35&gt;0,'RAP 2'!H28,0)</f>
        <v>0</v>
      </c>
      <c r="E35" s="593"/>
      <c r="F35" s="593"/>
      <c r="G35" s="593"/>
      <c r="H35" s="627" t="str">
        <f>IF(A35&gt;0,'RAP 2'!D30,"")</f>
        <v/>
      </c>
      <c r="I35" s="627"/>
      <c r="J35" s="627"/>
      <c r="K35" s="627"/>
      <c r="L35" s="627"/>
      <c r="M35" s="627" t="str">
        <f>IF(A35&gt;0,'RAP 2'!D11,"")</f>
        <v/>
      </c>
      <c r="N35" s="627"/>
      <c r="O35" s="627"/>
      <c r="P35" s="627"/>
      <c r="Q35" s="627"/>
      <c r="R35" s="627"/>
      <c r="S35" s="627"/>
      <c r="T35" s="627"/>
      <c r="U35" s="627"/>
      <c r="V35" s="627"/>
      <c r="W35" s="627"/>
      <c r="X35" s="627"/>
      <c r="Y35" s="627"/>
      <c r="Z35" s="627"/>
      <c r="AA35" s="627"/>
      <c r="AB35" s="627"/>
      <c r="AC35" s="627"/>
      <c r="AD35" s="627"/>
      <c r="AE35" s="627"/>
      <c r="AF35" s="627"/>
      <c r="AG35" s="628" t="str">
        <f>IF(A35&gt;0,'RAP 2'!H30,"")</f>
        <v/>
      </c>
      <c r="AH35" s="628"/>
      <c r="AI35" s="628"/>
      <c r="AJ35" s="628"/>
      <c r="AK35" s="628"/>
      <c r="AL35" s="628"/>
      <c r="AM35" s="630" t="str">
        <f>IF(A35&gt;0,'RAP MSG'!D20,"")</f>
        <v/>
      </c>
      <c r="AN35" s="630"/>
      <c r="AO35" s="631"/>
    </row>
    <row r="36" spans="1:46" ht="14" customHeight="1" thickBot="1" x14ac:dyDescent="0.3">
      <c r="A36" s="578">
        <f>'AGG BLEND'!Y21</f>
        <v>0</v>
      </c>
      <c r="B36" s="579"/>
      <c r="C36" s="579"/>
      <c r="D36" s="579">
        <f>IF(A36&gt;0,'RAP 3'!H28,0)</f>
        <v>0</v>
      </c>
      <c r="E36" s="579"/>
      <c r="F36" s="579"/>
      <c r="G36" s="579"/>
      <c r="H36" s="645" t="str">
        <f>IF(A36&gt;0,'RAP 3'!D30,"")</f>
        <v/>
      </c>
      <c r="I36" s="645"/>
      <c r="J36" s="645"/>
      <c r="K36" s="645"/>
      <c r="L36" s="645"/>
      <c r="M36" s="645" t="str">
        <f>IF(A36&gt;0,'RAP 3'!D11,"")</f>
        <v/>
      </c>
      <c r="N36" s="645"/>
      <c r="O36" s="645"/>
      <c r="P36" s="645"/>
      <c r="Q36" s="645"/>
      <c r="R36" s="645"/>
      <c r="S36" s="645"/>
      <c r="T36" s="645"/>
      <c r="U36" s="645"/>
      <c r="V36" s="645"/>
      <c r="W36" s="645"/>
      <c r="X36" s="645"/>
      <c r="Y36" s="645"/>
      <c r="Z36" s="645"/>
      <c r="AA36" s="645"/>
      <c r="AB36" s="645"/>
      <c r="AC36" s="645"/>
      <c r="AD36" s="645"/>
      <c r="AE36" s="645"/>
      <c r="AF36" s="645"/>
      <c r="AG36" s="646" t="str">
        <f>IF(A36&gt;0,'RAP 3'!H30,"")</f>
        <v/>
      </c>
      <c r="AH36" s="646"/>
      <c r="AI36" s="646"/>
      <c r="AJ36" s="646"/>
      <c r="AK36" s="646"/>
      <c r="AL36" s="646"/>
      <c r="AM36" s="643" t="str">
        <f>IF(A36&gt;0,'RAP MSG'!F20,"")</f>
        <v/>
      </c>
      <c r="AN36" s="643"/>
      <c r="AO36" s="644"/>
    </row>
    <row r="37" spans="1:46" ht="14" customHeight="1" thickBot="1" x14ac:dyDescent="0.3">
      <c r="A37" s="112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T37" s="148"/>
    </row>
    <row r="38" spans="1:46" ht="14" customHeight="1" thickBot="1" x14ac:dyDescent="0.3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647" t="s">
        <v>101</v>
      </c>
      <c r="AH38" s="647"/>
      <c r="AI38" s="647"/>
      <c r="AJ38" s="647"/>
      <c r="AK38" s="647"/>
      <c r="AL38" s="648"/>
      <c r="AM38" s="649">
        <f>IF(ISNUMBER('RAP MSG'!F42),'RAP MSG'!F42,"")</f>
        <v>2.6672359629054911</v>
      </c>
      <c r="AN38" s="650"/>
      <c r="AO38" s="651"/>
    </row>
    <row r="39" spans="1:46" ht="14" customHeight="1" x14ac:dyDescent="0.25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</row>
    <row r="40" spans="1:46" ht="14" customHeight="1" x14ac:dyDescent="0.25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8" t="s">
        <v>296</v>
      </c>
    </row>
    <row r="41" spans="1:46" ht="14" customHeight="1" x14ac:dyDescent="0.25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</row>
    <row r="42" spans="1:46" ht="14" customHeight="1" x14ac:dyDescent="0.25">
      <c r="A42" s="101"/>
      <c r="B42" s="101"/>
      <c r="C42" s="101"/>
      <c r="D42" s="407" t="s">
        <v>1906</v>
      </c>
      <c r="E42" s="407"/>
      <c r="F42" s="407"/>
      <c r="G42" s="407"/>
      <c r="H42" s="407"/>
      <c r="I42" s="407"/>
      <c r="J42" s="641">
        <f>IF(COUNTIF(Z15,"*"&amp;"Gravel"&amp;"*")&gt;0,A15,0)+IF(COUNTIF(Z16,"*"&amp;"Gravel"&amp;"*")&gt;0,A16,0)+IF(COUNTIF(Z17,"*"&amp;"Gravel"&amp;"*")&gt;0,A17,0)+IF(COUNTIF(Z18,"*"&amp;"Gravel"&amp;"*")&gt;0,A18,0)</f>
        <v>12</v>
      </c>
      <c r="K42" s="641"/>
      <c r="L42" s="641"/>
      <c r="M42" s="101"/>
      <c r="N42" s="407" t="s">
        <v>1907</v>
      </c>
      <c r="O42" s="407"/>
      <c r="P42" s="407"/>
      <c r="Q42" s="407"/>
      <c r="R42" s="407"/>
      <c r="S42" s="407"/>
      <c r="T42" s="641">
        <f>IF(COUNTIF(Z15,"*"&amp;"Limestone"&amp;"*")&gt;0,A15,0)+IF(COUNTIF(Z16,"*"&amp;"Limestone"&amp;"*")&gt;0,A16,0)+IF(COUNTIF(Z17,"*"&amp;"Limestone"&amp;"*")&gt;0,A17,0)+IF(COUNTIF(Z18,"*"&amp;"Limestone"&amp;"*")&gt;0,A18,0)</f>
        <v>30</v>
      </c>
      <c r="U42" s="641"/>
      <c r="V42" s="641"/>
      <c r="W42" s="101"/>
      <c r="X42" s="407" t="s">
        <v>1908</v>
      </c>
      <c r="Y42" s="407"/>
      <c r="Z42" s="407"/>
      <c r="AA42" s="407"/>
      <c r="AB42" s="407"/>
      <c r="AC42" s="407"/>
      <c r="AD42" s="641">
        <f>IF(COUNTIF(Z15,"*"&amp;"ACBF Slag"&amp;"*")&gt;0,A15,0)+IF(COUNTIF(Z16,"*"&amp;"ACBF Slag"&amp;"*")&gt;0,A16,0)+IF(COUNTIF(Z17,"*"&amp;"ACBF Slag"&amp;"*")&gt;0,A17,0)+IF(COUNTIF(Z18,"*"&amp;"ACBF Slag"&amp;"*")&gt;0,A18,0)</f>
        <v>0</v>
      </c>
      <c r="AE42" s="641"/>
      <c r="AF42" s="641"/>
      <c r="AG42" s="101"/>
      <c r="AH42" s="457" t="s">
        <v>344</v>
      </c>
      <c r="AI42" s="458"/>
      <c r="AJ42" s="458"/>
      <c r="AK42" s="458"/>
      <c r="AL42" s="459"/>
      <c r="AM42" s="641">
        <f>A15+A16+A17+A18</f>
        <v>42</v>
      </c>
      <c r="AN42" s="641"/>
      <c r="AO42" s="641"/>
    </row>
    <row r="43" spans="1:46" ht="14" customHeight="1" x14ac:dyDescent="0.25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457" t="s">
        <v>345</v>
      </c>
      <c r="AI43" s="458"/>
      <c r="AJ43" s="458"/>
      <c r="AK43" s="458"/>
      <c r="AL43" s="459"/>
      <c r="AM43" s="641">
        <f>A23+A24+A25+A26</f>
        <v>21</v>
      </c>
      <c r="AN43" s="641"/>
      <c r="AO43" s="641"/>
    </row>
    <row r="44" spans="1:46" ht="14" customHeight="1" x14ac:dyDescent="0.25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457" t="s">
        <v>1237</v>
      </c>
      <c r="AI44" s="458"/>
      <c r="AJ44" s="458"/>
      <c r="AK44" s="458"/>
      <c r="AL44" s="459"/>
      <c r="AM44" s="641">
        <f>A30</f>
        <v>2</v>
      </c>
      <c r="AN44" s="641"/>
      <c r="AO44" s="641"/>
    </row>
    <row r="45" spans="1:46" ht="14" customHeight="1" x14ac:dyDescent="0.25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457" t="s">
        <v>346</v>
      </c>
      <c r="AI45" s="458"/>
      <c r="AJ45" s="458"/>
      <c r="AK45" s="458"/>
      <c r="AL45" s="459"/>
      <c r="AM45" s="641">
        <f>A34+A35+A36</f>
        <v>35</v>
      </c>
      <c r="AN45" s="641"/>
      <c r="AO45" s="641"/>
    </row>
    <row r="46" spans="1:46" ht="14" customHeight="1" x14ac:dyDescent="0.25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</row>
    <row r="47" spans="1:46" ht="14" customHeight="1" x14ac:dyDescent="0.25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407" t="s">
        <v>181</v>
      </c>
      <c r="AI47" s="407"/>
      <c r="AJ47" s="407"/>
      <c r="AK47" s="407"/>
      <c r="AL47" s="407"/>
      <c r="AM47" s="642">
        <f>SUM(AM42:AM45)</f>
        <v>100</v>
      </c>
      <c r="AN47" s="642"/>
      <c r="AO47" s="642"/>
    </row>
    <row r="48" spans="1:46" ht="14" customHeight="1" x14ac:dyDescent="0.25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641" t="str">
        <f>IF(AM47=100,"OK","Not OK")</f>
        <v>OK</v>
      </c>
      <c r="AN48" s="641"/>
      <c r="AO48" s="641"/>
    </row>
    <row r="49" spans="1:41" ht="14" customHeight="1" x14ac:dyDescent="0.25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</row>
    <row r="50" spans="1:41" ht="14" customHeight="1" x14ac:dyDescent="0.25">
      <c r="A50" s="652" t="s">
        <v>85</v>
      </c>
      <c r="B50" s="652"/>
      <c r="C50" s="652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</row>
    <row r="51" spans="1:41" ht="14" customHeight="1" thickBot="1" x14ac:dyDescent="0.3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</row>
    <row r="52" spans="1:41" ht="14" customHeight="1" x14ac:dyDescent="0.25">
      <c r="A52" s="101"/>
      <c r="B52" s="632" t="s">
        <v>2075</v>
      </c>
      <c r="C52" s="633"/>
      <c r="D52" s="633"/>
      <c r="E52" s="633"/>
      <c r="F52" s="633"/>
      <c r="G52" s="633"/>
      <c r="H52" s="633"/>
      <c r="I52" s="633"/>
      <c r="J52" s="633"/>
      <c r="K52" s="633"/>
      <c r="L52" s="633"/>
      <c r="M52" s="633"/>
      <c r="N52" s="633"/>
      <c r="O52" s="633"/>
      <c r="P52" s="633"/>
      <c r="Q52" s="633"/>
      <c r="R52" s="633"/>
      <c r="S52" s="633"/>
      <c r="T52" s="633"/>
      <c r="U52" s="633"/>
      <c r="V52" s="633"/>
      <c r="W52" s="633"/>
      <c r="X52" s="633"/>
      <c r="Y52" s="633"/>
      <c r="Z52" s="633"/>
      <c r="AA52" s="633"/>
      <c r="AB52" s="633"/>
      <c r="AC52" s="633"/>
      <c r="AD52" s="633"/>
      <c r="AE52" s="633"/>
      <c r="AF52" s="633"/>
      <c r="AG52" s="633"/>
      <c r="AH52" s="633"/>
      <c r="AI52" s="633"/>
      <c r="AJ52" s="633"/>
      <c r="AK52" s="633"/>
      <c r="AL52" s="633"/>
      <c r="AM52" s="633"/>
      <c r="AN52" s="634"/>
      <c r="AO52" s="101"/>
    </row>
    <row r="53" spans="1:41" ht="14" customHeight="1" x14ac:dyDescent="0.25">
      <c r="A53" s="101"/>
      <c r="B53" s="635"/>
      <c r="C53" s="636"/>
      <c r="D53" s="636"/>
      <c r="E53" s="636"/>
      <c r="F53" s="636"/>
      <c r="G53" s="636"/>
      <c r="H53" s="636"/>
      <c r="I53" s="636"/>
      <c r="J53" s="636"/>
      <c r="K53" s="636"/>
      <c r="L53" s="636"/>
      <c r="M53" s="636"/>
      <c r="N53" s="636"/>
      <c r="O53" s="636"/>
      <c r="P53" s="636"/>
      <c r="Q53" s="636"/>
      <c r="R53" s="636"/>
      <c r="S53" s="636"/>
      <c r="T53" s="636"/>
      <c r="U53" s="636"/>
      <c r="V53" s="636"/>
      <c r="W53" s="636"/>
      <c r="X53" s="636"/>
      <c r="Y53" s="636"/>
      <c r="Z53" s="636"/>
      <c r="AA53" s="636"/>
      <c r="AB53" s="636"/>
      <c r="AC53" s="636"/>
      <c r="AD53" s="636"/>
      <c r="AE53" s="636"/>
      <c r="AF53" s="636"/>
      <c r="AG53" s="636"/>
      <c r="AH53" s="636"/>
      <c r="AI53" s="636"/>
      <c r="AJ53" s="636"/>
      <c r="AK53" s="636"/>
      <c r="AL53" s="636"/>
      <c r="AM53" s="636"/>
      <c r="AN53" s="637"/>
      <c r="AO53" s="101"/>
    </row>
    <row r="54" spans="1:41" ht="14" customHeight="1" x14ac:dyDescent="0.25">
      <c r="A54" s="101"/>
      <c r="B54" s="635"/>
      <c r="C54" s="636"/>
      <c r="D54" s="636"/>
      <c r="E54" s="636"/>
      <c r="F54" s="636"/>
      <c r="G54" s="636"/>
      <c r="H54" s="636"/>
      <c r="I54" s="636"/>
      <c r="J54" s="636"/>
      <c r="K54" s="636"/>
      <c r="L54" s="636"/>
      <c r="M54" s="636"/>
      <c r="N54" s="636"/>
      <c r="O54" s="636"/>
      <c r="P54" s="636"/>
      <c r="Q54" s="636"/>
      <c r="R54" s="636"/>
      <c r="S54" s="636"/>
      <c r="T54" s="636"/>
      <c r="U54" s="636"/>
      <c r="V54" s="636"/>
      <c r="W54" s="636"/>
      <c r="X54" s="636"/>
      <c r="Y54" s="636"/>
      <c r="Z54" s="636"/>
      <c r="AA54" s="636"/>
      <c r="AB54" s="636"/>
      <c r="AC54" s="636"/>
      <c r="AD54" s="636"/>
      <c r="AE54" s="636"/>
      <c r="AF54" s="636"/>
      <c r="AG54" s="636"/>
      <c r="AH54" s="636"/>
      <c r="AI54" s="636"/>
      <c r="AJ54" s="636"/>
      <c r="AK54" s="636"/>
      <c r="AL54" s="636"/>
      <c r="AM54" s="636"/>
      <c r="AN54" s="637"/>
      <c r="AO54" s="101"/>
    </row>
    <row r="55" spans="1:41" ht="14" customHeight="1" x14ac:dyDescent="0.25">
      <c r="A55" s="101"/>
      <c r="B55" s="635"/>
      <c r="C55" s="636"/>
      <c r="D55" s="636"/>
      <c r="E55" s="636"/>
      <c r="F55" s="636"/>
      <c r="G55" s="636"/>
      <c r="H55" s="636"/>
      <c r="I55" s="636"/>
      <c r="J55" s="636"/>
      <c r="K55" s="636"/>
      <c r="L55" s="636"/>
      <c r="M55" s="636"/>
      <c r="N55" s="636"/>
      <c r="O55" s="636"/>
      <c r="P55" s="636"/>
      <c r="Q55" s="636"/>
      <c r="R55" s="636"/>
      <c r="S55" s="636"/>
      <c r="T55" s="636"/>
      <c r="U55" s="636"/>
      <c r="V55" s="636"/>
      <c r="W55" s="636"/>
      <c r="X55" s="636"/>
      <c r="Y55" s="636"/>
      <c r="Z55" s="636"/>
      <c r="AA55" s="636"/>
      <c r="AB55" s="636"/>
      <c r="AC55" s="636"/>
      <c r="AD55" s="636"/>
      <c r="AE55" s="636"/>
      <c r="AF55" s="636"/>
      <c r="AG55" s="636"/>
      <c r="AH55" s="636"/>
      <c r="AI55" s="636"/>
      <c r="AJ55" s="636"/>
      <c r="AK55" s="636"/>
      <c r="AL55" s="636"/>
      <c r="AM55" s="636"/>
      <c r="AN55" s="637"/>
      <c r="AO55" s="101"/>
    </row>
    <row r="56" spans="1:41" ht="14" customHeight="1" thickBot="1" x14ac:dyDescent="0.3">
      <c r="A56" s="101"/>
      <c r="B56" s="638"/>
      <c r="C56" s="639"/>
      <c r="D56" s="639"/>
      <c r="E56" s="639"/>
      <c r="F56" s="639"/>
      <c r="G56" s="639"/>
      <c r="H56" s="639"/>
      <c r="I56" s="639"/>
      <c r="J56" s="639"/>
      <c r="K56" s="639"/>
      <c r="L56" s="639"/>
      <c r="M56" s="639"/>
      <c r="N56" s="639"/>
      <c r="O56" s="639"/>
      <c r="P56" s="639"/>
      <c r="Q56" s="639"/>
      <c r="R56" s="639"/>
      <c r="S56" s="639"/>
      <c r="T56" s="639"/>
      <c r="U56" s="639"/>
      <c r="V56" s="639"/>
      <c r="W56" s="639"/>
      <c r="X56" s="639"/>
      <c r="Y56" s="639"/>
      <c r="Z56" s="639"/>
      <c r="AA56" s="639"/>
      <c r="AB56" s="639"/>
      <c r="AC56" s="639"/>
      <c r="AD56" s="639"/>
      <c r="AE56" s="639"/>
      <c r="AF56" s="639"/>
      <c r="AG56" s="639"/>
      <c r="AH56" s="639"/>
      <c r="AI56" s="639"/>
      <c r="AJ56" s="639"/>
      <c r="AK56" s="639"/>
      <c r="AL56" s="639"/>
      <c r="AM56" s="639"/>
      <c r="AN56" s="640"/>
      <c r="AO56" s="101"/>
    </row>
    <row r="57" spans="1:41" ht="14" customHeight="1" x14ac:dyDescent="0.25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9"/>
      <c r="AI57" s="101"/>
      <c r="AJ57" s="101"/>
      <c r="AK57" s="101"/>
      <c r="AL57" s="101"/>
      <c r="AM57" s="101"/>
      <c r="AN57" s="101"/>
      <c r="AO57" s="101"/>
    </row>
    <row r="58" spans="1:41" ht="14" customHeight="1" x14ac:dyDescent="0.25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9"/>
      <c r="AI58" s="101"/>
      <c r="AJ58" s="101"/>
      <c r="AK58" s="101"/>
      <c r="AL58" s="101"/>
      <c r="AM58" s="101"/>
      <c r="AN58" s="101"/>
      <c r="AO58" s="109" t="str">
        <f>'TRANS. COV.'!AO73</f>
        <v>Ver 0.1</v>
      </c>
    </row>
    <row r="60" spans="1:41" ht="14" customHeight="1" x14ac:dyDescent="0.25">
      <c r="A60" s="122"/>
      <c r="B60" s="146"/>
    </row>
    <row r="61" spans="1:41" ht="14" customHeight="1" x14ac:dyDescent="0.25">
      <c r="A61" s="122"/>
      <c r="B61" s="146"/>
    </row>
    <row r="62" spans="1:41" ht="14" customHeight="1" x14ac:dyDescent="0.25">
      <c r="A62" s="122"/>
      <c r="B62" s="146"/>
    </row>
    <row r="63" spans="1:41" ht="14" customHeight="1" x14ac:dyDescent="0.25">
      <c r="A63" s="122"/>
      <c r="B63" s="146"/>
    </row>
    <row r="64" spans="1:41" ht="14" customHeight="1" x14ac:dyDescent="0.25">
      <c r="A64" s="122"/>
      <c r="B64" s="146"/>
    </row>
    <row r="65" spans="1:2" ht="14" customHeight="1" x14ac:dyDescent="0.25">
      <c r="A65" s="122"/>
      <c r="B65" s="146"/>
    </row>
    <row r="66" spans="1:2" ht="14" customHeight="1" x14ac:dyDescent="0.25">
      <c r="A66" s="122"/>
      <c r="B66" s="146"/>
    </row>
    <row r="67" spans="1:2" ht="14" customHeight="1" x14ac:dyDescent="0.25">
      <c r="B67" s="146"/>
    </row>
    <row r="68" spans="1:2" ht="14" customHeight="1" x14ac:dyDescent="0.25">
      <c r="B68" s="146"/>
    </row>
    <row r="69" spans="1:2" ht="14" customHeight="1" x14ac:dyDescent="0.25">
      <c r="B69" s="146"/>
    </row>
  </sheetData>
  <sheetProtection algorithmName="SHA-512" hashValue="GxazKwB698dxRVJwTDk2z9YVnCLMu4XVUN4dUGQ8wYAtzez+FNJdMlXlLX+9NFMmtdlHzvEN/w3stbTeHragyA==" saltValue="66vlotot2/yyunEF76v03g==" spinCount="100000" sheet="1" objects="1" scenarios="1"/>
  <mergeCells count="133">
    <mergeCell ref="AM36:AO36"/>
    <mergeCell ref="D36:G36"/>
    <mergeCell ref="A36:C36"/>
    <mergeCell ref="H36:L36"/>
    <mergeCell ref="AG36:AL36"/>
    <mergeCell ref="M36:AF36"/>
    <mergeCell ref="AG38:AL38"/>
    <mergeCell ref="AM38:AO38"/>
    <mergeCell ref="A50:C50"/>
    <mergeCell ref="J42:L42"/>
    <mergeCell ref="D42:I42"/>
    <mergeCell ref="N42:S42"/>
    <mergeCell ref="T42:V42"/>
    <mergeCell ref="X42:AC42"/>
    <mergeCell ref="AD42:AF42"/>
    <mergeCell ref="B52:AN56"/>
    <mergeCell ref="AH47:AL47"/>
    <mergeCell ref="AH44:AL44"/>
    <mergeCell ref="AH45:AL45"/>
    <mergeCell ref="AH42:AL42"/>
    <mergeCell ref="AH43:AL43"/>
    <mergeCell ref="AM42:AO42"/>
    <mergeCell ref="AM43:AO43"/>
    <mergeCell ref="AM44:AO44"/>
    <mergeCell ref="AM47:AO47"/>
    <mergeCell ref="AM48:AO48"/>
    <mergeCell ref="AM45:AO45"/>
    <mergeCell ref="AG34:AL34"/>
    <mergeCell ref="AM34:AO34"/>
    <mergeCell ref="A35:C35"/>
    <mergeCell ref="H35:L35"/>
    <mergeCell ref="AG35:AL35"/>
    <mergeCell ref="A34:C34"/>
    <mergeCell ref="H34:L34"/>
    <mergeCell ref="D34:G34"/>
    <mergeCell ref="D35:G35"/>
    <mergeCell ref="M34:AF34"/>
    <mergeCell ref="AM35:AO35"/>
    <mergeCell ref="M35:AF35"/>
    <mergeCell ref="AE23:AI23"/>
    <mergeCell ref="H30:L30"/>
    <mergeCell ref="AM30:AO30"/>
    <mergeCell ref="A30:C30"/>
    <mergeCell ref="D30:G30"/>
    <mergeCell ref="D33:G33"/>
    <mergeCell ref="M33:AF33"/>
    <mergeCell ref="A29:C29"/>
    <mergeCell ref="D29:G29"/>
    <mergeCell ref="H29:L29"/>
    <mergeCell ref="AM29:AO29"/>
    <mergeCell ref="M29:AL29"/>
    <mergeCell ref="M30:AL30"/>
    <mergeCell ref="A28:AO28"/>
    <mergeCell ref="A33:C33"/>
    <mergeCell ref="AE24:AI24"/>
    <mergeCell ref="AE25:AI25"/>
    <mergeCell ref="AE26:AI26"/>
    <mergeCell ref="A26:C26"/>
    <mergeCell ref="Z25:AD25"/>
    <mergeCell ref="A32:AO32"/>
    <mergeCell ref="H33:L33"/>
    <mergeCell ref="AG33:AL33"/>
    <mergeCell ref="AM33:AO33"/>
    <mergeCell ref="AM15:AO15"/>
    <mergeCell ref="Z26:AD26"/>
    <mergeCell ref="A25:C25"/>
    <mergeCell ref="A24:C24"/>
    <mergeCell ref="Z23:AD23"/>
    <mergeCell ref="Z24:AD24"/>
    <mergeCell ref="A23:C23"/>
    <mergeCell ref="A17:C17"/>
    <mergeCell ref="Z17:AD17"/>
    <mergeCell ref="D22:G22"/>
    <mergeCell ref="D23:G23"/>
    <mergeCell ref="D24:G24"/>
    <mergeCell ref="D25:G25"/>
    <mergeCell ref="D26:G26"/>
    <mergeCell ref="H22:Y22"/>
    <mergeCell ref="H23:Y23"/>
    <mergeCell ref="H24:Y24"/>
    <mergeCell ref="H25:Y25"/>
    <mergeCell ref="H26:Y26"/>
    <mergeCell ref="D21:AD21"/>
    <mergeCell ref="A20:AO20"/>
    <mergeCell ref="A21:C22"/>
    <mergeCell ref="Z22:AD22"/>
    <mergeCell ref="AE21:AI22"/>
    <mergeCell ref="AE18:AI18"/>
    <mergeCell ref="A18:C18"/>
    <mergeCell ref="Z18:AD18"/>
    <mergeCell ref="D17:G17"/>
    <mergeCell ref="D18:G18"/>
    <mergeCell ref="H17:Y17"/>
    <mergeCell ref="H18:Y18"/>
    <mergeCell ref="AJ17:AL17"/>
    <mergeCell ref="H15:Y15"/>
    <mergeCell ref="H16:Y16"/>
    <mergeCell ref="AJ15:AL15"/>
    <mergeCell ref="Z16:AD16"/>
    <mergeCell ref="A16:C16"/>
    <mergeCell ref="Z15:AD15"/>
    <mergeCell ref="A15:C15"/>
    <mergeCell ref="AE15:AI15"/>
    <mergeCell ref="AE16:AI16"/>
    <mergeCell ref="D15:G15"/>
    <mergeCell ref="D16:G16"/>
    <mergeCell ref="AE17:AI17"/>
    <mergeCell ref="AJ16:AL16"/>
    <mergeCell ref="A8:AO8"/>
    <mergeCell ref="A10:AO10"/>
    <mergeCell ref="A12:AO12"/>
    <mergeCell ref="A13:C14"/>
    <mergeCell ref="Z14:AD14"/>
    <mergeCell ref="AE13:AI14"/>
    <mergeCell ref="D14:G14"/>
    <mergeCell ref="H14:Y14"/>
    <mergeCell ref="D13:AD13"/>
    <mergeCell ref="AJ13:AL14"/>
    <mergeCell ref="AM13:AO14"/>
    <mergeCell ref="AM16:AO16"/>
    <mergeCell ref="AM21:AO22"/>
    <mergeCell ref="AM23:AO23"/>
    <mergeCell ref="AM24:AO24"/>
    <mergeCell ref="AM25:AO25"/>
    <mergeCell ref="AM26:AO26"/>
    <mergeCell ref="AJ21:AL22"/>
    <mergeCell ref="AJ23:AL23"/>
    <mergeCell ref="AJ24:AL24"/>
    <mergeCell ref="AJ25:AL25"/>
    <mergeCell ref="AJ26:AL26"/>
    <mergeCell ref="AM17:AO17"/>
    <mergeCell ref="AJ18:AL18"/>
    <mergeCell ref="AM18:AO18"/>
  </mergeCells>
  <dataValidations count="2">
    <dataValidation type="list" allowBlank="1" showInputMessage="1" showErrorMessage="1" sqref="AE15:AI18" xr:uid="{EA4B3C6A-2F26-40BB-A821-9828CFDEB860}">
      <formula1>"3/4,1/2,7/16,1/4,304,411,003,003M,004,004M,005,005M,057,057M,006,006M,067,067M,068,068M,007,007M,078,078M,008,008M,089,089M,009,009M"</formula1>
    </dataValidation>
    <dataValidation type="list" allowBlank="1" showInputMessage="1" showErrorMessage="1" sqref="AE23:AI26" xr:uid="{7C9CC988-AA25-4FE6-8F4C-2173918F09FD}">
      <formula1>"SD5,SD5M,010,010M,SD2,SD2M,SD2/SD5"</formula1>
    </dataValidation>
  </dataValidations>
  <printOptions horizontalCentered="1"/>
  <pageMargins left="0.5" right="0.5" top="0.5" bottom="0.5" header="0.3" footer="0.3"/>
  <pageSetup scale="84" orientation="portrait" r:id="rId1"/>
  <ignoredErrors>
    <ignoredError sqref="M34:AF36 AA26:AD26 AN25:AO25 AA25:AD25 I25:Y25 AN24:AO24 AA24:AD24 I24:Y24 AN23:AO23 AA23:AD23 I23:Y23 AN17:AO17 AA17:AD17 I17:Y17 AN16:AO16 AA16:AD16 I16:Y16 AN15:AO15 I15:Y15 AN18:AO18 AN26:AO26 I26:Y26 I18:Y18 AA18:AD18 AA15:AD15 A17:H17 A15:C15 AF15:AI15 A19:AO22 A18:H18 AE18:AL18 Z18 A26:H26 Z26 Z15 A16:C16 Z16 AF16:AI16 Z17 AE17:AL17 A25:H25 A23:C23 Z23 AK23:AL23 A24:H24 Z24 AJ24:AL24 Z25 AJ25:AL25 AJ26:AL26 E15:H15 AK15:AL15 E16:H16 AK16:AL16 E23:H23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9" id="{0CB2E6A0-92B6-4AF0-A0B7-70A6CBA2EC1D}">
            <xm:f>AM45&gt;IF(AND(ISNUMBER('301 Spec_New_Table'!$D$11),COUNTIF('JMF SHEET PG 1'!K34,"*"&amp;"SBS"&amp;"*")+COUNTIF('JMF SHEET PG 1'!K34,"*"&amp;"SBR"&amp;"*")+COUNTIF('JMF SHEET PG 1'!K34,"*"&amp;"GTR"&amp;"*")+COUNTIF('JMF SHEET PG 1'!K34,"*"&amp;"TPAM"&amp;"*")=1,$H$34="Method 1"),'301 Spec_New_Table'!$D$11,IF(AND(ISNUMBER('301 Spec_New_Table'!$D$12),COUNTIF('JMF SHEET PG 1'!K34,"*"&amp;"SBS"&amp;"*")+COUNTIF('JMF SHEET PG 1'!K34,"*"&amp;"SBR"&amp;"*")+COUNTIF('JMF SHEET PG 1'!K34,"*"&amp;"GTR"&amp;"*")+COUNTIF('JMF SHEET PG 1'!K34,"*"&amp;"TPAM"&amp;"*")=0,$H$34="Method 1"),'301 Spec_New_Table'!$D$12,IF(AND(ISNUMBER('301 Spec_New_Table'!$D$14),COUNTIF('JMF SHEET PG 1'!K34,"*"&amp;"SBS"&amp;"*")+COUNTIF('JMF SHEET PG 1'!K34,"*"&amp;"SBR"&amp;"*")+COUNTIF('JMF SHEET PG 1'!K34,"*"&amp;"GTR"&amp;"*")+COUNTIF('JMF SHEET PG 1'!K34,"*"&amp;"TPAM"&amp;"*")=1),'301 Spec_New_Table'!$D$14,IF(AND(ISNUMBER('301 Spec_New_Table'!$D$15),COUNTIF('JMF SHEET PG 1'!K34,"*"&amp;"SBS"&amp;"*")+COUNTIF('JMF SHEET PG 1'!K34,"*"&amp;"SBR"&amp;"*")+COUNTIF('JMF SHEET PG 1'!K34,"*"&amp;"GTR"&amp;"*")+COUNTIF('JMF SHEET PG 1'!K34,"*"&amp;"TPAM"&amp;"*")=0),'301 Spec_New_Table'!$D$15,0))))</xm:f>
            <x14:dxf>
              <fill>
                <patternFill>
                  <bgColor rgb="FFFF9393"/>
                </patternFill>
              </fill>
            </x14:dxf>
          </x14:cfRule>
          <xm:sqref>AM45:AO45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8EF8EA-329D-47B9-B35B-FDFD79C34BDA}">
          <x14:formula1>
            <xm:f>'Aggregate Sources'!$A$2:$A$1000</xm:f>
          </x14:formula1>
          <xm:sqref>D15:D18 D23:D26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BL87"/>
  <sheetViews>
    <sheetView zoomScale="80" zoomScaleNormal="80" zoomScaleSheetLayoutView="40" workbookViewId="0"/>
  </sheetViews>
  <sheetFormatPr defaultColWidth="11" defaultRowHeight="12.5" x14ac:dyDescent="0.25"/>
  <cols>
    <col min="1" max="1" width="9.90625" style="151" customWidth="1"/>
    <col min="2" max="2" width="2.6328125" style="151" customWidth="1"/>
    <col min="3" max="3" width="11" style="151"/>
    <col min="4" max="4" width="1.6328125" style="151" customWidth="1"/>
    <col min="5" max="5" width="11" style="151"/>
    <col min="6" max="6" width="1.6328125" style="151" customWidth="1"/>
    <col min="7" max="7" width="11" style="151" customWidth="1"/>
    <col min="8" max="8" width="1.6328125" style="151" customWidth="1"/>
    <col min="9" max="9" width="11" style="151" customWidth="1"/>
    <col min="10" max="10" width="2.6328125" style="151" customWidth="1"/>
    <col min="11" max="11" width="11" style="151"/>
    <col min="12" max="12" width="1.6328125" style="151" customWidth="1"/>
    <col min="13" max="13" width="11" style="151"/>
    <col min="14" max="14" width="1.6328125" style="151" customWidth="1"/>
    <col min="15" max="15" width="11" style="151" customWidth="1"/>
    <col min="16" max="16" width="1.6328125" style="151" customWidth="1"/>
    <col min="17" max="17" width="11" style="151" customWidth="1"/>
    <col min="18" max="18" width="2.6328125" style="151" customWidth="1"/>
    <col min="19" max="19" width="11" style="151" customWidth="1"/>
    <col min="20" max="20" width="2.6328125" style="151" customWidth="1"/>
    <col min="21" max="21" width="11" style="151" customWidth="1"/>
    <col min="22" max="22" width="1.6328125" style="151" customWidth="1"/>
    <col min="23" max="23" width="11" style="151" customWidth="1"/>
    <col min="24" max="24" width="1.6328125" style="151" customWidth="1"/>
    <col min="25" max="25" width="11" style="151" customWidth="1"/>
    <col min="26" max="26" width="2.6328125" style="151" customWidth="1"/>
    <col min="27" max="27" width="11" style="151"/>
    <col min="28" max="28" width="2.6328125" style="151" customWidth="1"/>
    <col min="29" max="29" width="11" style="151"/>
    <col min="30" max="30" width="2.6328125" style="151" customWidth="1"/>
    <col min="31" max="31" width="9" style="160" customWidth="1"/>
    <col min="32" max="32" width="2.6328125" style="160" customWidth="1"/>
    <col min="33" max="33" width="9" style="160" customWidth="1"/>
    <col min="34" max="34" width="11" style="151" customWidth="1"/>
    <col min="35" max="36" width="11" style="151"/>
    <col min="37" max="38" width="12.36328125" style="151" customWidth="1"/>
    <col min="39" max="44" width="11" style="151"/>
    <col min="45" max="45" width="11" style="151" customWidth="1"/>
    <col min="46" max="64" width="11" style="102"/>
    <col min="65" max="16384" width="11" style="151"/>
  </cols>
  <sheetData>
    <row r="1" spans="1:64" ht="12.75" customHeight="1" x14ac:dyDescent="0.25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50"/>
      <c r="AF1" s="150"/>
      <c r="AG1" s="150"/>
    </row>
    <row r="2" spans="1:64" ht="12.75" customHeight="1" x14ac:dyDescent="0.2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50"/>
      <c r="AF2" s="150"/>
      <c r="AG2" s="150"/>
    </row>
    <row r="3" spans="1:64" ht="12.75" customHeight="1" x14ac:dyDescent="0.2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50"/>
      <c r="AF3" s="150"/>
      <c r="AG3" s="150"/>
    </row>
    <row r="4" spans="1:64" ht="12.75" customHeight="1" x14ac:dyDescent="0.2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50"/>
      <c r="AF4" s="150"/>
      <c r="AG4" s="150"/>
    </row>
    <row r="5" spans="1:64" ht="12.75" customHeight="1" x14ac:dyDescent="0.25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50"/>
      <c r="AF5" s="150"/>
      <c r="AG5" s="150"/>
    </row>
    <row r="6" spans="1:64" ht="20.25" customHeight="1" x14ac:dyDescent="0.25">
      <c r="A6" s="152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50"/>
      <c r="AF6" s="150"/>
      <c r="AG6" s="150"/>
    </row>
    <row r="7" spans="1:64" ht="22.75" customHeight="1" x14ac:dyDescent="0.25">
      <c r="A7" s="657" t="s">
        <v>102</v>
      </c>
      <c r="B7" s="657"/>
      <c r="C7" s="657"/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  <c r="Q7" s="657"/>
      <c r="R7" s="657"/>
      <c r="S7" s="657"/>
      <c r="T7" s="657"/>
      <c r="U7" s="657"/>
      <c r="V7" s="657"/>
      <c r="W7" s="657"/>
      <c r="X7" s="657"/>
      <c r="Y7" s="657"/>
      <c r="Z7" s="657"/>
      <c r="AA7" s="657"/>
      <c r="AB7" s="657"/>
      <c r="AC7" s="657"/>
      <c r="AD7" s="657"/>
      <c r="AE7" s="657"/>
      <c r="AF7" s="657"/>
      <c r="AG7" s="657"/>
    </row>
    <row r="8" spans="1:64" ht="8" customHeight="1" x14ac:dyDescent="0.25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50"/>
      <c r="AF8" s="150"/>
      <c r="AG8" s="150"/>
    </row>
    <row r="9" spans="1:64" ht="17.25" customHeight="1" x14ac:dyDescent="0.25">
      <c r="A9" s="658" t="s">
        <v>26</v>
      </c>
      <c r="B9" s="658"/>
      <c r="C9" s="658"/>
      <c r="D9" s="658"/>
      <c r="E9" s="658"/>
      <c r="F9" s="658"/>
      <c r="G9" s="658"/>
      <c r="H9" s="658"/>
      <c r="I9" s="658"/>
      <c r="J9" s="658"/>
      <c r="K9" s="658"/>
      <c r="L9" s="658"/>
      <c r="M9" s="658"/>
      <c r="N9" s="658"/>
      <c r="O9" s="658"/>
      <c r="P9" s="658"/>
      <c r="Q9" s="658"/>
      <c r="R9" s="658"/>
      <c r="S9" s="658"/>
      <c r="T9" s="658"/>
      <c r="U9" s="658"/>
      <c r="V9" s="658"/>
      <c r="W9" s="658"/>
      <c r="X9" s="658"/>
      <c r="Y9" s="658"/>
      <c r="Z9" s="658"/>
      <c r="AA9" s="658"/>
      <c r="AB9" s="658"/>
      <c r="AC9" s="658"/>
      <c r="AD9" s="658"/>
      <c r="AE9" s="658"/>
      <c r="AF9" s="658"/>
      <c r="AG9" s="658"/>
    </row>
    <row r="10" spans="1:64" ht="8" customHeight="1" x14ac:dyDescent="0.25">
      <c r="A10" s="153"/>
      <c r="B10" s="153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5"/>
      <c r="AF10" s="155"/>
      <c r="AG10" s="150"/>
    </row>
    <row r="11" spans="1:64" ht="24" customHeight="1" x14ac:dyDescent="0.25">
      <c r="A11" s="149"/>
      <c r="B11" s="156"/>
      <c r="C11" s="106" t="s">
        <v>1244</v>
      </c>
      <c r="D11" s="116"/>
      <c r="E11" s="659" t="str">
        <f>IF('TRANS. COV.'!U29&lt;&gt;"",'TRANS. COV.'!U29,"")</f>
        <v>24-5678</v>
      </c>
      <c r="F11" s="659"/>
      <c r="G11" s="137"/>
      <c r="H11" s="137"/>
      <c r="I11" s="137"/>
      <c r="J11" s="137"/>
      <c r="K11" s="106" t="s">
        <v>122</v>
      </c>
      <c r="L11" s="137"/>
      <c r="M11" s="661" t="str">
        <f>IF('TRANS. COV.'!U35&lt;&gt;"",'TRANS. COV.'!U35,"")</f>
        <v>301 Base</v>
      </c>
      <c r="N11" s="661"/>
      <c r="O11" s="661"/>
      <c r="P11" s="661"/>
      <c r="Q11" s="661"/>
      <c r="R11" s="661"/>
      <c r="S11" s="661"/>
      <c r="T11" s="149"/>
      <c r="U11" s="149"/>
      <c r="V11" s="137"/>
      <c r="W11" s="106" t="s">
        <v>313</v>
      </c>
      <c r="X11" s="660">
        <f>IF('TRANS. COV.'!W71&lt;&gt;"",'TRANS. COV.'!W71,"")</f>
        <v>45458</v>
      </c>
      <c r="Y11" s="660"/>
      <c r="Z11" s="104"/>
      <c r="AA11" s="149"/>
      <c r="AB11" s="154"/>
      <c r="AC11" s="157"/>
      <c r="AD11" s="104"/>
      <c r="AE11" s="149"/>
      <c r="AF11" s="149"/>
      <c r="AG11" s="149"/>
    </row>
    <row r="12" spans="1:64" s="160" customFormat="1" ht="8" customHeight="1" x14ac:dyDescent="0.25">
      <c r="A12" s="156"/>
      <c r="B12" s="156"/>
      <c r="C12" s="158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9"/>
      <c r="AB12" s="156"/>
      <c r="AC12" s="156"/>
      <c r="AD12" s="156"/>
      <c r="AE12" s="156"/>
      <c r="AF12" s="156"/>
      <c r="AG12" s="156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</row>
    <row r="13" spans="1:64" s="160" customFormat="1" ht="24" customHeight="1" thickBot="1" x14ac:dyDescent="0.3">
      <c r="A13" s="156"/>
      <c r="B13" s="156"/>
      <c r="C13" s="654" t="s">
        <v>182</v>
      </c>
      <c r="D13" s="654"/>
      <c r="E13" s="654"/>
      <c r="F13" s="654"/>
      <c r="G13" s="654"/>
      <c r="H13" s="654"/>
      <c r="I13" s="654"/>
      <c r="J13" s="162"/>
      <c r="K13" s="654" t="s">
        <v>183</v>
      </c>
      <c r="L13" s="654"/>
      <c r="M13" s="654"/>
      <c r="N13" s="654"/>
      <c r="O13" s="654"/>
      <c r="P13" s="654"/>
      <c r="Q13" s="654"/>
      <c r="R13" s="162"/>
      <c r="S13" s="163" t="s">
        <v>364</v>
      </c>
      <c r="T13" s="162"/>
      <c r="U13" s="654" t="s">
        <v>107</v>
      </c>
      <c r="V13" s="654"/>
      <c r="W13" s="654"/>
      <c r="X13" s="654"/>
      <c r="Y13" s="654"/>
      <c r="Z13" s="150"/>
      <c r="AA13" s="159"/>
      <c r="AB13" s="156"/>
      <c r="AC13" s="156"/>
      <c r="AD13" s="156"/>
      <c r="AE13" s="156"/>
      <c r="AF13" s="156"/>
      <c r="AG13" s="156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</row>
    <row r="14" spans="1:64" s="160" customFormat="1" ht="8" customHeight="1" thickTop="1" x14ac:dyDescent="0.25">
      <c r="A14" s="150"/>
      <c r="B14" s="150"/>
      <c r="C14" s="164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</row>
    <row r="15" spans="1:64" ht="24" customHeight="1" x14ac:dyDescent="0.25">
      <c r="A15" s="165"/>
      <c r="B15" s="165"/>
      <c r="C15" s="655" t="str">
        <f>IF('JMF SHEET PG 2'!H15&lt;&gt;"",'JMF SHEET PG 2'!H15,"")</f>
        <v>Hot Mix USA Crushed Stone - Columbus, OH</v>
      </c>
      <c r="D15" s="149"/>
      <c r="E15" s="655" t="str">
        <f>IF('JMF SHEET PG 2'!H16&lt;&gt;"",'JMF SHEET PG 2'!H16,"")</f>
        <v>Hot Mix USA Natural Stone - Columbus, OH</v>
      </c>
      <c r="F15" s="166"/>
      <c r="G15" s="655" t="str">
        <f>IF('JMF SHEET PG 2'!H17&lt;&gt;"",'JMF SHEET PG 2'!H17,"")</f>
        <v/>
      </c>
      <c r="H15" s="166"/>
      <c r="I15" s="655" t="str">
        <f>IF('JMF SHEET PG 2'!H18&lt;&gt;"",'JMF SHEET PG 2'!H18,"")</f>
        <v/>
      </c>
      <c r="J15" s="149"/>
      <c r="K15" s="655" t="str">
        <f>IF('JMF SHEET PG 2'!H23&lt;&gt;"",'JMF SHEET PG 2'!H23,"")</f>
        <v>Hot Mix USA Natural Stone - Columbus, OH</v>
      </c>
      <c r="L15" s="167"/>
      <c r="M15" s="655" t="str">
        <f>IF('JMF SHEET PG 2'!H24&lt;&gt;"",'JMF SHEET PG 2'!H24,"")</f>
        <v/>
      </c>
      <c r="N15" s="168"/>
      <c r="O15" s="655" t="str">
        <f>IF('JMF SHEET PG 2'!H25&lt;&gt;"",'JMF SHEET PG 2'!H25,"")</f>
        <v/>
      </c>
      <c r="P15" s="166"/>
      <c r="Q15" s="655" t="str">
        <f>IF('JMF SHEET PG 2'!H26&lt;&gt;"",'JMF SHEET PG 2'!H26,"")</f>
        <v/>
      </c>
      <c r="R15" s="166"/>
      <c r="S15" s="655" t="str">
        <f>IF('JMF SHEET PG 2'!M30&lt;&gt;"",'JMF SHEET PG 2'!M30,"")</f>
        <v>HMA Mix USA, Columbus Plant #21</v>
      </c>
      <c r="T15" s="169"/>
      <c r="U15" s="655" t="str">
        <f>IF('JMF SHEET PG 2'!M34&lt;&gt;"",'JMF SHEET PG 2'!M34,"")</f>
        <v>2024-HMA Mix USA-Plt #21-Columbus-9/16"-GR-A</v>
      </c>
      <c r="V15" s="166"/>
      <c r="W15" s="655" t="str">
        <f>IF('JMF SHEET PG 2'!M35&lt;&gt;"",'JMF SHEET PG 2'!M35,"")</f>
        <v/>
      </c>
      <c r="X15" s="166"/>
      <c r="Y15" s="655" t="str">
        <f>IF('JMF SHEET PG 2'!M36&lt;&gt;"",'JMF SHEET PG 2'!M36,"")</f>
        <v/>
      </c>
      <c r="Z15" s="166"/>
      <c r="AA15" s="149"/>
      <c r="AB15" s="149"/>
      <c r="AC15" s="149"/>
      <c r="AD15" s="149"/>
      <c r="AE15" s="150"/>
      <c r="AF15" s="150"/>
      <c r="AG15" s="150"/>
    </row>
    <row r="16" spans="1:64" ht="24" customHeight="1" x14ac:dyDescent="0.25">
      <c r="A16" s="149"/>
      <c r="B16" s="149"/>
      <c r="C16" s="655"/>
      <c r="D16" s="149"/>
      <c r="E16" s="655"/>
      <c r="F16" s="149"/>
      <c r="G16" s="655"/>
      <c r="H16" s="149"/>
      <c r="I16" s="655"/>
      <c r="J16" s="149"/>
      <c r="K16" s="655"/>
      <c r="L16" s="149"/>
      <c r="M16" s="655"/>
      <c r="N16" s="168"/>
      <c r="O16" s="655"/>
      <c r="P16" s="149"/>
      <c r="Q16" s="655"/>
      <c r="R16" s="149"/>
      <c r="S16" s="655"/>
      <c r="T16" s="169"/>
      <c r="U16" s="655"/>
      <c r="V16" s="149"/>
      <c r="W16" s="655"/>
      <c r="X16" s="149"/>
      <c r="Y16" s="655"/>
      <c r="Z16" s="149"/>
      <c r="AA16" s="149"/>
      <c r="AB16" s="149"/>
      <c r="AC16" s="149"/>
      <c r="AD16" s="149"/>
      <c r="AE16" s="150"/>
      <c r="AF16" s="150"/>
      <c r="AG16" s="150"/>
    </row>
    <row r="17" spans="1:64" ht="24" customHeight="1" x14ac:dyDescent="0.25">
      <c r="A17" s="149"/>
      <c r="B17" s="149"/>
      <c r="C17" s="656"/>
      <c r="D17" s="170"/>
      <c r="E17" s="656"/>
      <c r="F17" s="170"/>
      <c r="G17" s="656"/>
      <c r="H17" s="170"/>
      <c r="I17" s="656"/>
      <c r="J17" s="170"/>
      <c r="K17" s="656"/>
      <c r="L17" s="170"/>
      <c r="M17" s="656"/>
      <c r="N17" s="171"/>
      <c r="O17" s="656"/>
      <c r="P17" s="170"/>
      <c r="Q17" s="656"/>
      <c r="R17" s="170"/>
      <c r="S17" s="656"/>
      <c r="T17" s="169"/>
      <c r="U17" s="656"/>
      <c r="V17" s="170"/>
      <c r="W17" s="656"/>
      <c r="X17" s="170"/>
      <c r="Y17" s="656"/>
      <c r="Z17" s="170"/>
      <c r="AA17" s="149"/>
      <c r="AB17" s="149"/>
      <c r="AC17" s="149"/>
      <c r="AD17" s="149"/>
      <c r="AE17" s="150"/>
      <c r="AF17" s="150"/>
      <c r="AG17" s="150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</row>
    <row r="18" spans="1:64" ht="24" customHeight="1" x14ac:dyDescent="0.25">
      <c r="A18" s="149"/>
      <c r="B18" s="149"/>
      <c r="C18" s="172" t="str">
        <f>IF('JMF SHEET PG 2'!Z15&lt;&gt;"",'JMF SHEET PG 2'!Z15,"")</f>
        <v>Limestone</v>
      </c>
      <c r="D18" s="173"/>
      <c r="E18" s="172" t="str">
        <f>IF('JMF SHEET PG 2'!Z16&lt;&gt;"",'JMF SHEET PG 2'!Z16,"")</f>
        <v>Natural Gravel</v>
      </c>
      <c r="F18" s="173"/>
      <c r="G18" s="172" t="str">
        <f>IF('JMF SHEET PG 2'!Z17&lt;&gt;"",'JMF SHEET PG 2'!Z17,"")</f>
        <v/>
      </c>
      <c r="H18" s="173"/>
      <c r="I18" s="172" t="str">
        <f>IF('JMF SHEET PG 2'!Z18&lt;&gt;"",'JMF SHEET PG 2'!Z18,"")</f>
        <v/>
      </c>
      <c r="J18" s="173"/>
      <c r="K18" s="172" t="str">
        <f>IF('JMF SHEET PG 2'!Z23&lt;&gt;"",'JMF SHEET PG 2'!Z23,"")</f>
        <v>Natural Sand</v>
      </c>
      <c r="L18" s="173"/>
      <c r="M18" s="172" t="str">
        <f>IF('JMF SHEET PG 2'!Z24&lt;&gt;"",'JMF SHEET PG 2'!Z24,"")</f>
        <v/>
      </c>
      <c r="N18" s="173"/>
      <c r="O18" s="172" t="str">
        <f>IF('JMF SHEET PG 2'!Z25&lt;&gt;"",'JMF SHEET PG 2'!Z25,"")</f>
        <v/>
      </c>
      <c r="P18" s="173"/>
      <c r="Q18" s="172" t="str">
        <f>IF('JMF SHEET PG 2'!Z26&lt;&gt;"",'JMF SHEET PG 2'!Z26,"")</f>
        <v/>
      </c>
      <c r="R18" s="173"/>
      <c r="S18" s="172" t="str">
        <f>IF('JMF SHEET PG 2'!M30&lt;&gt;"",'JMF SHEET PG 2'!H30,"")</f>
        <v>Baghouse Fines</v>
      </c>
      <c r="T18" s="173"/>
      <c r="U18" s="172" t="str">
        <f>IF('JMF SHEET PG 2'!M34&lt;&gt;"",'JMF SHEET PG 2'!H34,"")</f>
        <v>Method 2</v>
      </c>
      <c r="V18" s="173"/>
      <c r="W18" s="172" t="str">
        <f>IF('JMF SHEET PG 2'!M35&lt;&gt;"",'JMF SHEET PG 2'!H35,"")</f>
        <v/>
      </c>
      <c r="X18" s="173"/>
      <c r="Y18" s="172" t="str">
        <f>IF('JMF SHEET PG 2'!M36&lt;&gt;"",'JMF SHEET PG 2'!H36,"")</f>
        <v/>
      </c>
      <c r="Z18" s="173"/>
      <c r="AA18" s="149"/>
      <c r="AB18" s="149"/>
      <c r="AC18" s="149"/>
      <c r="AD18" s="149"/>
      <c r="AE18" s="150"/>
      <c r="AF18" s="150"/>
      <c r="AG18" s="150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</row>
    <row r="19" spans="1:64" ht="24" customHeight="1" x14ac:dyDescent="0.25">
      <c r="A19" s="149"/>
      <c r="B19" s="149"/>
      <c r="C19" s="172" t="str">
        <f>IF('JMF SHEET PG 2'!AE15&lt;&gt;"",'JMF SHEET PG 2'!AE15,"")</f>
        <v>057</v>
      </c>
      <c r="D19" s="173"/>
      <c r="E19" s="172" t="str">
        <f>IF('JMF SHEET PG 2'!AE16&lt;&gt;"",'JMF SHEET PG 2'!AE16,"")</f>
        <v>008</v>
      </c>
      <c r="F19" s="173"/>
      <c r="G19" s="172" t="str">
        <f>IF('JMF SHEET PG 2'!AE17&lt;&gt;"",'JMF SHEET PG 2'!AE17,"")</f>
        <v/>
      </c>
      <c r="H19" s="173"/>
      <c r="I19" s="174" t="str">
        <f>IF('JMF SHEET PG 2'!AE18&lt;&gt;"",'JMF SHEET PG 2'!AE18,"")</f>
        <v/>
      </c>
      <c r="J19" s="173"/>
      <c r="K19" s="172" t="str">
        <f>IF('JMF SHEET PG 2'!AE23&lt;&gt;"",'JMF SHEET PG 2'!AE23,"")</f>
        <v>SD2</v>
      </c>
      <c r="L19" s="173"/>
      <c r="M19" s="172" t="str">
        <f>IF('JMF SHEET PG 2'!AE24&lt;&gt;"",'JMF SHEET PG 2'!AE24,"")</f>
        <v/>
      </c>
      <c r="N19" s="173"/>
      <c r="O19" s="172" t="str">
        <f>IF('JMF SHEET PG 2'!AE25&lt;&gt;"",'JMF SHEET PG 2'!AE25,"")</f>
        <v/>
      </c>
      <c r="P19" s="173"/>
      <c r="Q19" s="172" t="str">
        <f>IF('JMF SHEET PG 2'!AE26&lt;&gt;"",'JMF SHEET PG 2'!AE26,"")</f>
        <v/>
      </c>
      <c r="R19" s="173"/>
      <c r="S19" s="172" t="str">
        <f>IF('JMF SHEET PG 2'!M30&lt;&gt;"",'JMF SHEET PG 2'!D30,"")</f>
        <v>BF</v>
      </c>
      <c r="T19" s="175"/>
      <c r="U19" s="172"/>
      <c r="V19" s="173"/>
      <c r="W19" s="172"/>
      <c r="X19" s="173"/>
      <c r="Y19" s="172"/>
      <c r="Z19" s="173"/>
      <c r="AA19" s="149"/>
      <c r="AB19" s="149"/>
      <c r="AC19" s="149"/>
      <c r="AD19" s="149"/>
      <c r="AE19" s="150"/>
      <c r="AF19" s="150"/>
      <c r="AG19" s="150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</row>
    <row r="20" spans="1:64" ht="24" customHeight="1" x14ac:dyDescent="0.25">
      <c r="A20" s="149"/>
      <c r="B20" s="149"/>
      <c r="C20" s="150" t="s">
        <v>27</v>
      </c>
      <c r="D20" s="150"/>
      <c r="E20" s="150" t="s">
        <v>27</v>
      </c>
      <c r="F20" s="150"/>
      <c r="G20" s="150" t="s">
        <v>27</v>
      </c>
      <c r="H20" s="150"/>
      <c r="I20" s="150" t="s">
        <v>27</v>
      </c>
      <c r="J20" s="150"/>
      <c r="K20" s="150" t="s">
        <v>27</v>
      </c>
      <c r="L20" s="150"/>
      <c r="M20" s="150" t="s">
        <v>27</v>
      </c>
      <c r="N20" s="150"/>
      <c r="O20" s="150" t="s">
        <v>27</v>
      </c>
      <c r="P20" s="150"/>
      <c r="Q20" s="150" t="s">
        <v>27</v>
      </c>
      <c r="R20" s="150"/>
      <c r="S20" s="150" t="s">
        <v>27</v>
      </c>
      <c r="T20" s="150"/>
      <c r="U20" s="150" t="s">
        <v>27</v>
      </c>
      <c r="V20" s="150"/>
      <c r="W20" s="150" t="s">
        <v>27</v>
      </c>
      <c r="X20" s="150"/>
      <c r="Y20" s="150" t="s">
        <v>27</v>
      </c>
      <c r="Z20" s="150"/>
      <c r="AA20" s="116" t="s">
        <v>181</v>
      </c>
      <c r="AB20" s="149"/>
      <c r="AC20" s="149"/>
      <c r="AD20" s="149"/>
      <c r="AE20" s="150"/>
      <c r="AF20" s="150"/>
      <c r="AG20" s="150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</row>
    <row r="21" spans="1:64" ht="24" customHeight="1" thickBot="1" x14ac:dyDescent="0.3">
      <c r="A21" s="149"/>
      <c r="B21" s="149"/>
      <c r="C21" s="77">
        <v>30</v>
      </c>
      <c r="D21" s="176"/>
      <c r="E21" s="77">
        <v>12</v>
      </c>
      <c r="F21" s="176"/>
      <c r="G21" s="77">
        <v>0</v>
      </c>
      <c r="H21" s="176"/>
      <c r="I21" s="77">
        <v>0</v>
      </c>
      <c r="J21" s="176"/>
      <c r="K21" s="77">
        <v>21</v>
      </c>
      <c r="L21" s="176"/>
      <c r="M21" s="77">
        <v>0</v>
      </c>
      <c r="N21" s="177"/>
      <c r="O21" s="77">
        <v>0</v>
      </c>
      <c r="P21" s="176"/>
      <c r="Q21" s="77">
        <v>0</v>
      </c>
      <c r="R21" s="176"/>
      <c r="S21" s="77">
        <v>2</v>
      </c>
      <c r="T21" s="178"/>
      <c r="U21" s="77">
        <v>35</v>
      </c>
      <c r="V21" s="176"/>
      <c r="W21" s="77">
        <v>0</v>
      </c>
      <c r="X21" s="176"/>
      <c r="Y21" s="77">
        <v>0</v>
      </c>
      <c r="Z21" s="176"/>
      <c r="AA21" s="179">
        <f>C21+E21+G21+I21+K21+M21+O21+Q21+S21+U21+W21+Y21</f>
        <v>100</v>
      </c>
      <c r="AB21" s="150"/>
      <c r="AC21" s="150"/>
      <c r="AD21" s="150"/>
      <c r="AE21" s="149"/>
      <c r="AF21" s="149"/>
      <c r="AG21" s="149"/>
      <c r="AI21" s="151" t="s">
        <v>28</v>
      </c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</row>
    <row r="22" spans="1:64" ht="24" customHeight="1" thickTop="1" x14ac:dyDescent="0.25">
      <c r="A22" s="149"/>
      <c r="B22" s="149"/>
      <c r="C22" s="149"/>
      <c r="D22" s="149"/>
      <c r="E22" s="149"/>
      <c r="F22" s="149"/>
      <c r="G22" s="180"/>
      <c r="H22" s="149"/>
      <c r="I22" s="180"/>
      <c r="J22" s="149"/>
      <c r="K22" s="149"/>
      <c r="L22" s="149"/>
      <c r="M22" s="149"/>
      <c r="N22" s="149"/>
      <c r="O22" s="180"/>
      <c r="P22" s="149"/>
      <c r="Q22" s="180"/>
      <c r="R22" s="149"/>
      <c r="S22" s="180"/>
      <c r="T22" s="180"/>
      <c r="U22" s="149"/>
      <c r="V22" s="149"/>
      <c r="W22" s="149"/>
      <c r="X22" s="149"/>
      <c r="Y22" s="149"/>
      <c r="Z22" s="149"/>
      <c r="AA22" s="150" t="s">
        <v>69</v>
      </c>
      <c r="AB22" s="150"/>
      <c r="AC22" s="150" t="s">
        <v>70</v>
      </c>
      <c r="AD22" s="150"/>
      <c r="AE22" s="149"/>
      <c r="AF22" s="149"/>
      <c r="AG22" s="149"/>
      <c r="AN22" s="181" t="s">
        <v>29</v>
      </c>
      <c r="AO22" s="18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  <c r="BK22" s="151"/>
      <c r="BL22" s="151"/>
    </row>
    <row r="23" spans="1:64" ht="24" customHeight="1" thickBot="1" x14ac:dyDescent="0.3">
      <c r="A23" s="182" t="s">
        <v>8</v>
      </c>
      <c r="B23" s="165"/>
      <c r="C23" s="183" t="s">
        <v>312</v>
      </c>
      <c r="D23" s="184"/>
      <c r="E23" s="185" t="s">
        <v>312</v>
      </c>
      <c r="F23" s="184"/>
      <c r="G23" s="185" t="s">
        <v>312</v>
      </c>
      <c r="H23" s="184"/>
      <c r="I23" s="186" t="s">
        <v>312</v>
      </c>
      <c r="J23" s="149"/>
      <c r="K23" s="183" t="s">
        <v>312</v>
      </c>
      <c r="L23" s="184"/>
      <c r="M23" s="185" t="s">
        <v>312</v>
      </c>
      <c r="N23" s="184"/>
      <c r="O23" s="185" t="s">
        <v>312</v>
      </c>
      <c r="P23" s="184"/>
      <c r="Q23" s="186" t="s">
        <v>312</v>
      </c>
      <c r="R23" s="149"/>
      <c r="S23" s="187" t="s">
        <v>312</v>
      </c>
      <c r="T23" s="165"/>
      <c r="U23" s="183" t="s">
        <v>312</v>
      </c>
      <c r="V23" s="184"/>
      <c r="W23" s="185" t="s">
        <v>312</v>
      </c>
      <c r="X23" s="184"/>
      <c r="Y23" s="186" t="s">
        <v>312</v>
      </c>
      <c r="Z23" s="149"/>
      <c r="AA23" s="188" t="s">
        <v>312</v>
      </c>
      <c r="AB23" s="150"/>
      <c r="AC23" s="188" t="s">
        <v>312</v>
      </c>
      <c r="AD23" s="150"/>
      <c r="AE23" s="653" t="s">
        <v>104</v>
      </c>
      <c r="AF23" s="653"/>
      <c r="AG23" s="653"/>
      <c r="AI23" s="160" t="s">
        <v>31</v>
      </c>
      <c r="AJ23" s="160" t="s">
        <v>30</v>
      </c>
      <c r="AK23" s="160" t="s">
        <v>32</v>
      </c>
      <c r="AL23" s="160" t="str">
        <f>AK23</f>
        <v>0.45 POWER</v>
      </c>
      <c r="AM23" s="160" t="s">
        <v>33</v>
      </c>
      <c r="AN23" s="160" t="s">
        <v>34</v>
      </c>
      <c r="AO23" s="160" t="s">
        <v>35</v>
      </c>
      <c r="AP23" s="160"/>
      <c r="AQ23" s="160"/>
      <c r="AR23" s="160"/>
      <c r="AS23" s="160"/>
      <c r="AT23" s="161"/>
      <c r="AU23" s="16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</row>
    <row r="24" spans="1:64" ht="24" customHeight="1" thickTop="1" x14ac:dyDescent="0.25">
      <c r="A24" s="130" t="s">
        <v>86</v>
      </c>
      <c r="B24" s="150"/>
      <c r="C24" s="71">
        <v>100</v>
      </c>
      <c r="D24" s="189"/>
      <c r="E24" s="73">
        <v>100</v>
      </c>
      <c r="F24" s="189"/>
      <c r="G24" s="73"/>
      <c r="H24" s="189"/>
      <c r="I24" s="75"/>
      <c r="J24" s="189"/>
      <c r="K24" s="71">
        <v>100</v>
      </c>
      <c r="L24" s="189"/>
      <c r="M24" s="73"/>
      <c r="N24" s="189"/>
      <c r="O24" s="73"/>
      <c r="P24" s="189"/>
      <c r="Q24" s="75"/>
      <c r="R24" s="189"/>
      <c r="S24" s="78">
        <v>100</v>
      </c>
      <c r="T24" s="189"/>
      <c r="U24" s="190">
        <f>IF($U$21&gt;0,'RAP 1'!H15,0)</f>
        <v>100</v>
      </c>
      <c r="V24" s="189"/>
      <c r="W24" s="191">
        <f>IF($W$21&gt;0,'RAP 2'!H15,0)</f>
        <v>0</v>
      </c>
      <c r="X24" s="189"/>
      <c r="Y24" s="192">
        <f>IF($Y$21&gt;0,'RAP 3'!H15,0)</f>
        <v>0</v>
      </c>
      <c r="Z24" s="189"/>
      <c r="AA24" s="193">
        <f t="shared" ref="AA24:AA35" si="0">IFERROR(ROUND((($C$21*C24)+($E$21*E24)+($G$21*G24)+($I$21*I24)+($K$21*K24)+($M$21*M24)+($O$21*O24)+($Q$21*Q24)+($S$21*S24)+($U$21*U24)+($W$21*W24)+($Y$21*Y24))/100,0),"Error!")</f>
        <v>100</v>
      </c>
      <c r="AB24" s="177"/>
      <c r="AC24" s="80">
        <v>100</v>
      </c>
      <c r="AD24" s="194"/>
      <c r="AE24" s="195">
        <f>IF(AT24&gt;0,AT24,"")</f>
        <v>100</v>
      </c>
      <c r="AF24" s="196" t="s">
        <v>99</v>
      </c>
      <c r="AG24" s="195">
        <f>IF(AU24&gt;0,AU24,"")</f>
        <v>100</v>
      </c>
      <c r="AI24" s="160">
        <v>2</v>
      </c>
      <c r="AJ24" s="197" t="s">
        <v>86</v>
      </c>
      <c r="AK24" s="160">
        <f t="shared" ref="AK24:AK36" si="1">POWER(AI24,0.45)</f>
        <v>1.3660402567543954</v>
      </c>
      <c r="AL24" s="160">
        <f t="shared" ref="AL24:AL36" si="2">AK24</f>
        <v>1.3660402567543954</v>
      </c>
      <c r="AM24" s="198">
        <f t="shared" ref="AM24:AM36" si="3">IF(ISNUMBER(AC24),AC24,#N/A)</f>
        <v>100</v>
      </c>
      <c r="AN24" s="198">
        <f t="shared" ref="AN24:AN36" si="4">IF(ISNUMBER(AT24),AT24,#N/A)</f>
        <v>100</v>
      </c>
      <c r="AO24" s="198">
        <f t="shared" ref="AO24:AO36" si="5">IF(ISNUMBER(AU24),AU24,#N/A)</f>
        <v>100</v>
      </c>
      <c r="AP24" s="160"/>
      <c r="AQ24" s="160">
        <v>0</v>
      </c>
      <c r="AR24" s="160">
        <v>100</v>
      </c>
      <c r="AS24" s="160"/>
      <c r="AT24" s="199">
        <f>IF(ISNUMBER('301 Spec_New_Table'!D23),'301 Spec_New_Table'!D23,"")</f>
        <v>100</v>
      </c>
      <c r="AU24" s="199">
        <f>IF(ISNUMBER('301 Spec_New_Table'!D24),'301 Spec_New_Table'!D24,"")</f>
        <v>100</v>
      </c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</row>
    <row r="25" spans="1:64" ht="24" customHeight="1" x14ac:dyDescent="0.25">
      <c r="A25" s="131" t="s">
        <v>87</v>
      </c>
      <c r="B25" s="165"/>
      <c r="C25" s="71">
        <v>100</v>
      </c>
      <c r="D25" s="189"/>
      <c r="E25" s="73">
        <v>100</v>
      </c>
      <c r="F25" s="189"/>
      <c r="G25" s="73"/>
      <c r="H25" s="189"/>
      <c r="I25" s="75"/>
      <c r="J25" s="189"/>
      <c r="K25" s="71">
        <v>100</v>
      </c>
      <c r="L25" s="189"/>
      <c r="M25" s="73"/>
      <c r="N25" s="189"/>
      <c r="O25" s="73"/>
      <c r="P25" s="189"/>
      <c r="Q25" s="75"/>
      <c r="R25" s="189"/>
      <c r="S25" s="78">
        <v>100</v>
      </c>
      <c r="T25" s="189"/>
      <c r="U25" s="190">
        <f>IF($U$21&gt;0,'RAP 1'!H16,0)</f>
        <v>100</v>
      </c>
      <c r="V25" s="189"/>
      <c r="W25" s="191">
        <f>IF($W$21&gt;0,'RAP 2'!H16,0)</f>
        <v>0</v>
      </c>
      <c r="X25" s="189"/>
      <c r="Y25" s="192">
        <f>IF($Y$21&gt;0,'RAP 3'!H16,0)</f>
        <v>0</v>
      </c>
      <c r="Z25" s="189"/>
      <c r="AA25" s="193">
        <f t="shared" si="0"/>
        <v>100</v>
      </c>
      <c r="AB25" s="177"/>
      <c r="AC25" s="81">
        <v>100</v>
      </c>
      <c r="AD25" s="194"/>
      <c r="AE25" s="195" t="str">
        <f t="shared" ref="AE25:AE36" si="6">IF(AT25&gt;0,AT25,"")</f>
        <v/>
      </c>
      <c r="AF25" s="196" t="s">
        <v>99</v>
      </c>
      <c r="AG25" s="195" t="str">
        <f t="shared" ref="AG25:AG36" si="7">IF(AU25&gt;0,AU25,"")</f>
        <v/>
      </c>
      <c r="AI25" s="160">
        <v>1.5</v>
      </c>
      <c r="AJ25" s="197" t="s">
        <v>87</v>
      </c>
      <c r="AK25" s="160">
        <f t="shared" si="1"/>
        <v>1.200165301609877</v>
      </c>
      <c r="AL25" s="160">
        <f t="shared" si="2"/>
        <v>1.200165301609877</v>
      </c>
      <c r="AM25" s="198">
        <f t="shared" si="3"/>
        <v>100</v>
      </c>
      <c r="AN25" s="198" t="e">
        <f t="shared" si="4"/>
        <v>#N/A</v>
      </c>
      <c r="AO25" s="198" t="e">
        <f t="shared" si="5"/>
        <v>#N/A</v>
      </c>
      <c r="AP25" s="160"/>
      <c r="AQ25" s="160"/>
      <c r="AR25" s="160"/>
      <c r="AS25" s="160"/>
      <c r="AT25" s="199" t="str">
        <f>IF(ISNUMBER('301 Spec_New_Table'!D25),'301 Spec_New_Table'!D25,"")</f>
        <v/>
      </c>
      <c r="AU25" s="199" t="str">
        <f>IF(ISNUMBER('301 Spec_New_Table'!D26),'301 Spec_New_Table'!D26,"")</f>
        <v/>
      </c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</row>
    <row r="26" spans="1:64" ht="24" customHeight="1" x14ac:dyDescent="0.25">
      <c r="A26" s="131" t="s">
        <v>36</v>
      </c>
      <c r="B26" s="165"/>
      <c r="C26" s="71">
        <v>100</v>
      </c>
      <c r="D26" s="189"/>
      <c r="E26" s="73">
        <v>100</v>
      </c>
      <c r="F26" s="189"/>
      <c r="G26" s="73"/>
      <c r="H26" s="189"/>
      <c r="I26" s="75"/>
      <c r="J26" s="189"/>
      <c r="K26" s="71">
        <v>100</v>
      </c>
      <c r="L26" s="189"/>
      <c r="M26" s="73"/>
      <c r="N26" s="189"/>
      <c r="O26" s="73"/>
      <c r="P26" s="189"/>
      <c r="Q26" s="75"/>
      <c r="R26" s="189"/>
      <c r="S26" s="78">
        <v>100</v>
      </c>
      <c r="T26" s="189"/>
      <c r="U26" s="190">
        <f>IF($U$21&gt;0,'RAP 1'!H17,0)</f>
        <v>100</v>
      </c>
      <c r="V26" s="189"/>
      <c r="W26" s="191">
        <f>IF($W$21&gt;0,'RAP 2'!H17,0)</f>
        <v>0</v>
      </c>
      <c r="X26" s="189"/>
      <c r="Y26" s="192">
        <f>IF($Y$21&gt;0,'RAP 3'!H17,0)</f>
        <v>0</v>
      </c>
      <c r="Z26" s="189"/>
      <c r="AA26" s="193">
        <f t="shared" si="0"/>
        <v>100</v>
      </c>
      <c r="AB26" s="177"/>
      <c r="AC26" s="81">
        <v>100</v>
      </c>
      <c r="AD26" s="194"/>
      <c r="AE26" s="195">
        <f t="shared" si="6"/>
        <v>75</v>
      </c>
      <c r="AF26" s="196" t="s">
        <v>99</v>
      </c>
      <c r="AG26" s="195">
        <f t="shared" si="7"/>
        <v>100</v>
      </c>
      <c r="AI26" s="160">
        <v>1</v>
      </c>
      <c r="AJ26" s="197" t="s">
        <v>36</v>
      </c>
      <c r="AK26" s="160">
        <f t="shared" si="1"/>
        <v>1</v>
      </c>
      <c r="AL26" s="160">
        <f t="shared" si="2"/>
        <v>1</v>
      </c>
      <c r="AM26" s="198">
        <f t="shared" si="3"/>
        <v>100</v>
      </c>
      <c r="AN26" s="198">
        <f t="shared" si="4"/>
        <v>75</v>
      </c>
      <c r="AO26" s="198">
        <f t="shared" si="5"/>
        <v>100</v>
      </c>
      <c r="AP26" s="160"/>
      <c r="AQ26" s="160"/>
      <c r="AR26" s="160"/>
      <c r="AS26" s="160"/>
      <c r="AT26" s="199">
        <f>IF(ISNUMBER('301 Spec_New_Table'!D27),'301 Spec_New_Table'!D27,"")</f>
        <v>75</v>
      </c>
      <c r="AU26" s="199">
        <f>IF(ISNUMBER('301 Spec_New_Table'!D28),'301 Spec_New_Table'!D28,"")</f>
        <v>100</v>
      </c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</row>
    <row r="27" spans="1:64" ht="24" customHeight="1" x14ac:dyDescent="0.25">
      <c r="A27" s="131" t="s">
        <v>37</v>
      </c>
      <c r="B27" s="165"/>
      <c r="C27" s="71">
        <v>87</v>
      </c>
      <c r="D27" s="189"/>
      <c r="E27" s="73">
        <v>100</v>
      </c>
      <c r="F27" s="189"/>
      <c r="G27" s="73"/>
      <c r="H27" s="189"/>
      <c r="I27" s="75"/>
      <c r="J27" s="189"/>
      <c r="K27" s="71">
        <v>100</v>
      </c>
      <c r="L27" s="189"/>
      <c r="M27" s="73"/>
      <c r="N27" s="189"/>
      <c r="O27" s="73"/>
      <c r="P27" s="189"/>
      <c r="Q27" s="75"/>
      <c r="R27" s="189"/>
      <c r="S27" s="78">
        <v>100</v>
      </c>
      <c r="T27" s="189"/>
      <c r="U27" s="190">
        <f>IF($U$21&gt;0,'RAP 1'!H18,0)</f>
        <v>100</v>
      </c>
      <c r="V27" s="189"/>
      <c r="W27" s="191">
        <f>IF($W$21&gt;0,'RAP 2'!H18,0)</f>
        <v>0</v>
      </c>
      <c r="X27" s="189"/>
      <c r="Y27" s="192">
        <f>IF($Y$21&gt;0,'RAP 3'!H18,0)</f>
        <v>0</v>
      </c>
      <c r="Z27" s="189"/>
      <c r="AA27" s="193">
        <f t="shared" si="0"/>
        <v>96</v>
      </c>
      <c r="AB27" s="177"/>
      <c r="AC27" s="81">
        <v>96.1</v>
      </c>
      <c r="AD27" s="194"/>
      <c r="AE27" s="195" t="str">
        <f t="shared" si="6"/>
        <v/>
      </c>
      <c r="AF27" s="196" t="s">
        <v>99</v>
      </c>
      <c r="AG27" s="195" t="str">
        <f t="shared" si="7"/>
        <v/>
      </c>
      <c r="AI27" s="160">
        <v>0.75</v>
      </c>
      <c r="AJ27" s="197" t="s">
        <v>37</v>
      </c>
      <c r="AK27" s="160">
        <f t="shared" si="1"/>
        <v>0.87857242542864411</v>
      </c>
      <c r="AL27" s="160">
        <f t="shared" si="2"/>
        <v>0.87857242542864411</v>
      </c>
      <c r="AM27" s="198">
        <f t="shared" si="3"/>
        <v>96.1</v>
      </c>
      <c r="AN27" s="198" t="e">
        <f t="shared" si="4"/>
        <v>#N/A</v>
      </c>
      <c r="AO27" s="198" t="e">
        <f t="shared" si="5"/>
        <v>#N/A</v>
      </c>
      <c r="AP27" s="160"/>
      <c r="AQ27" s="160"/>
      <c r="AR27" s="160"/>
      <c r="AS27" s="160"/>
      <c r="AT27" s="199" t="str">
        <f>IF(ISNUMBER('301 Spec_New_Table'!D29),'301 Spec_New_Table'!D29,"")</f>
        <v/>
      </c>
      <c r="AU27" s="199" t="str">
        <f>IF(ISNUMBER('301 Spec_New_Table'!D30),'301 Spec_New_Table'!D30,"")</f>
        <v/>
      </c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</row>
    <row r="28" spans="1:64" ht="24" customHeight="1" x14ac:dyDescent="0.25">
      <c r="A28" s="131" t="s">
        <v>38</v>
      </c>
      <c r="B28" s="165"/>
      <c r="C28" s="71">
        <v>32</v>
      </c>
      <c r="D28" s="189"/>
      <c r="E28" s="73">
        <v>100</v>
      </c>
      <c r="F28" s="189"/>
      <c r="G28" s="73"/>
      <c r="H28" s="189"/>
      <c r="I28" s="75"/>
      <c r="J28" s="189"/>
      <c r="K28" s="71">
        <v>100</v>
      </c>
      <c r="L28" s="189"/>
      <c r="M28" s="73"/>
      <c r="N28" s="189"/>
      <c r="O28" s="73"/>
      <c r="P28" s="189"/>
      <c r="Q28" s="75"/>
      <c r="R28" s="189"/>
      <c r="S28" s="78">
        <v>100</v>
      </c>
      <c r="T28" s="189"/>
      <c r="U28" s="190">
        <f>IF($U$21&gt;0,'RAP 1'!H19,0)</f>
        <v>99</v>
      </c>
      <c r="V28" s="189"/>
      <c r="W28" s="191">
        <f>IF($W$21&gt;0,'RAP 2'!H19,0)</f>
        <v>0</v>
      </c>
      <c r="X28" s="189"/>
      <c r="Y28" s="192">
        <f>IF($Y$21&gt;0,'RAP 3'!H19,0)</f>
        <v>0</v>
      </c>
      <c r="Z28" s="189"/>
      <c r="AA28" s="193">
        <f t="shared" si="0"/>
        <v>79</v>
      </c>
      <c r="AB28" s="177"/>
      <c r="AC28" s="81">
        <v>79</v>
      </c>
      <c r="AD28" s="194"/>
      <c r="AE28" s="195">
        <f t="shared" si="6"/>
        <v>50</v>
      </c>
      <c r="AF28" s="196" t="s">
        <v>99</v>
      </c>
      <c r="AG28" s="195">
        <f t="shared" si="7"/>
        <v>85</v>
      </c>
      <c r="AI28" s="160">
        <v>0.5</v>
      </c>
      <c r="AJ28" s="197" t="s">
        <v>38</v>
      </c>
      <c r="AK28" s="160">
        <f t="shared" si="1"/>
        <v>0.73204284797281272</v>
      </c>
      <c r="AL28" s="160">
        <f t="shared" si="2"/>
        <v>0.73204284797281272</v>
      </c>
      <c r="AM28" s="198">
        <f t="shared" si="3"/>
        <v>79</v>
      </c>
      <c r="AN28" s="198">
        <f t="shared" si="4"/>
        <v>50</v>
      </c>
      <c r="AO28" s="198">
        <f t="shared" si="5"/>
        <v>85</v>
      </c>
      <c r="AP28" s="160"/>
      <c r="AQ28" s="160"/>
      <c r="AR28" s="160"/>
      <c r="AS28" s="160"/>
      <c r="AT28" s="199">
        <f>IF(ISNUMBER('301 Spec_New_Table'!D31),'301 Spec_New_Table'!D31,"")</f>
        <v>50</v>
      </c>
      <c r="AU28" s="199">
        <f>IF(ISNUMBER('301 Spec_New_Table'!D32),'301 Spec_New_Table'!D32,"")</f>
        <v>85</v>
      </c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</row>
    <row r="29" spans="1:64" ht="24" customHeight="1" x14ac:dyDescent="0.25">
      <c r="A29" s="131" t="s">
        <v>39</v>
      </c>
      <c r="B29" s="165"/>
      <c r="C29" s="71">
        <v>10</v>
      </c>
      <c r="D29" s="189"/>
      <c r="E29" s="73">
        <v>93</v>
      </c>
      <c r="F29" s="189"/>
      <c r="G29" s="73"/>
      <c r="H29" s="189"/>
      <c r="I29" s="75"/>
      <c r="J29" s="189"/>
      <c r="K29" s="71">
        <v>100</v>
      </c>
      <c r="L29" s="189"/>
      <c r="M29" s="73"/>
      <c r="N29" s="189"/>
      <c r="O29" s="73"/>
      <c r="P29" s="189"/>
      <c r="Q29" s="75"/>
      <c r="R29" s="189"/>
      <c r="S29" s="78">
        <v>100</v>
      </c>
      <c r="T29" s="189"/>
      <c r="U29" s="190">
        <f>IF($U$21&gt;0,'RAP 1'!H20,0)</f>
        <v>96</v>
      </c>
      <c r="V29" s="189"/>
      <c r="W29" s="191">
        <f>IF($W$21&gt;0,'RAP 2'!H20,0)</f>
        <v>0</v>
      </c>
      <c r="X29" s="189"/>
      <c r="Y29" s="192">
        <f>IF($Y$21&gt;0,'RAP 3'!H20,0)</f>
        <v>0</v>
      </c>
      <c r="Z29" s="189"/>
      <c r="AA29" s="193">
        <f t="shared" si="0"/>
        <v>71</v>
      </c>
      <c r="AB29" s="177"/>
      <c r="AC29" s="81">
        <v>71</v>
      </c>
      <c r="AD29" s="194"/>
      <c r="AE29" s="195" t="str">
        <f t="shared" si="6"/>
        <v/>
      </c>
      <c r="AF29" s="196" t="s">
        <v>99</v>
      </c>
      <c r="AG29" s="195" t="str">
        <f t="shared" si="7"/>
        <v/>
      </c>
      <c r="AI29" s="160">
        <v>0.375</v>
      </c>
      <c r="AJ29" s="197" t="s">
        <v>39</v>
      </c>
      <c r="AK29" s="160">
        <f t="shared" si="1"/>
        <v>0.64315266046116626</v>
      </c>
      <c r="AL29" s="160">
        <f t="shared" si="2"/>
        <v>0.64315266046116626</v>
      </c>
      <c r="AM29" s="198">
        <f t="shared" si="3"/>
        <v>71</v>
      </c>
      <c r="AN29" s="198" t="e">
        <f t="shared" si="4"/>
        <v>#N/A</v>
      </c>
      <c r="AO29" s="198" t="e">
        <f t="shared" si="5"/>
        <v>#N/A</v>
      </c>
      <c r="AP29" s="160"/>
      <c r="AQ29" s="160"/>
      <c r="AR29" s="160"/>
      <c r="AS29" s="160"/>
      <c r="AT29" s="199" t="str">
        <f>IF(ISNUMBER('301 Spec_New_Table'!D33),'301 Spec_New_Table'!D33,"")</f>
        <v/>
      </c>
      <c r="AU29" s="199" t="str">
        <f>IF(ISNUMBER('301 Spec_New_Table'!D34),'301 Spec_New_Table'!D34,"")</f>
        <v/>
      </c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</row>
    <row r="30" spans="1:64" ht="24" customHeight="1" x14ac:dyDescent="0.25">
      <c r="A30" s="131" t="s">
        <v>40</v>
      </c>
      <c r="B30" s="165"/>
      <c r="C30" s="71">
        <v>4</v>
      </c>
      <c r="D30" s="189"/>
      <c r="E30" s="73">
        <v>14</v>
      </c>
      <c r="F30" s="189"/>
      <c r="G30" s="73"/>
      <c r="H30" s="189"/>
      <c r="I30" s="75"/>
      <c r="J30" s="189"/>
      <c r="K30" s="71">
        <v>100</v>
      </c>
      <c r="L30" s="189"/>
      <c r="M30" s="73"/>
      <c r="N30" s="189"/>
      <c r="O30" s="73"/>
      <c r="P30" s="189"/>
      <c r="Q30" s="75"/>
      <c r="R30" s="189"/>
      <c r="S30" s="78">
        <v>100</v>
      </c>
      <c r="T30" s="189"/>
      <c r="U30" s="190">
        <f>IF($U$21&gt;0,'RAP 1'!H21,0)</f>
        <v>68</v>
      </c>
      <c r="V30" s="189"/>
      <c r="W30" s="191">
        <f>IF($W$21&gt;0,'RAP 2'!H21,0)</f>
        <v>0</v>
      </c>
      <c r="X30" s="189"/>
      <c r="Y30" s="192">
        <f>IF($Y$21&gt;0,'RAP 3'!H21,0)</f>
        <v>0</v>
      </c>
      <c r="Z30" s="189"/>
      <c r="AA30" s="193">
        <f t="shared" si="0"/>
        <v>50</v>
      </c>
      <c r="AB30" s="177"/>
      <c r="AC30" s="81">
        <v>50</v>
      </c>
      <c r="AD30" s="194"/>
      <c r="AE30" s="195">
        <f t="shared" si="6"/>
        <v>25</v>
      </c>
      <c r="AF30" s="196" t="s">
        <v>99</v>
      </c>
      <c r="AG30" s="195">
        <f t="shared" si="7"/>
        <v>60</v>
      </c>
      <c r="AI30" s="160">
        <v>0.187</v>
      </c>
      <c r="AJ30" s="197" t="s">
        <v>40</v>
      </c>
      <c r="AK30" s="160">
        <f t="shared" si="1"/>
        <v>0.47024991198971094</v>
      </c>
      <c r="AL30" s="160">
        <f t="shared" si="2"/>
        <v>0.47024991198971094</v>
      </c>
      <c r="AM30" s="198">
        <f t="shared" si="3"/>
        <v>50</v>
      </c>
      <c r="AN30" s="198">
        <f t="shared" si="4"/>
        <v>25</v>
      </c>
      <c r="AO30" s="198">
        <f t="shared" si="5"/>
        <v>60</v>
      </c>
      <c r="AP30" s="160"/>
      <c r="AQ30" s="160"/>
      <c r="AR30" s="160"/>
      <c r="AS30" s="160"/>
      <c r="AT30" s="199">
        <f>IF(ISNUMBER('301 Spec_New_Table'!D35),'301 Spec_New_Table'!D35,"")</f>
        <v>25</v>
      </c>
      <c r="AU30" s="199">
        <f>IF(ISNUMBER('301 Spec_New_Table'!D36),'301 Spec_New_Table'!D36,"")</f>
        <v>60</v>
      </c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</row>
    <row r="31" spans="1:64" ht="24" customHeight="1" x14ac:dyDescent="0.25">
      <c r="A31" s="131" t="s">
        <v>41</v>
      </c>
      <c r="B31" s="165"/>
      <c r="C31" s="71">
        <v>3</v>
      </c>
      <c r="D31" s="189"/>
      <c r="E31" s="73">
        <v>1</v>
      </c>
      <c r="F31" s="189"/>
      <c r="G31" s="73"/>
      <c r="H31" s="189"/>
      <c r="I31" s="75"/>
      <c r="J31" s="189"/>
      <c r="K31" s="71">
        <v>100</v>
      </c>
      <c r="L31" s="189"/>
      <c r="M31" s="73"/>
      <c r="N31" s="189"/>
      <c r="O31" s="73"/>
      <c r="P31" s="189"/>
      <c r="Q31" s="75"/>
      <c r="R31" s="189"/>
      <c r="S31" s="78">
        <v>100</v>
      </c>
      <c r="T31" s="189"/>
      <c r="U31" s="190">
        <f>IF($U$21&gt;0,'RAP 1'!H22,0)</f>
        <v>51</v>
      </c>
      <c r="V31" s="189"/>
      <c r="W31" s="191">
        <f>IF($W$21&gt;0,'RAP 2'!H22,0)</f>
        <v>0</v>
      </c>
      <c r="X31" s="189"/>
      <c r="Y31" s="192">
        <f>IF($Y$21&gt;0,'RAP 3'!H22,0)</f>
        <v>0</v>
      </c>
      <c r="Z31" s="189"/>
      <c r="AA31" s="193">
        <f t="shared" si="0"/>
        <v>42</v>
      </c>
      <c r="AB31" s="177"/>
      <c r="AC31" s="81">
        <v>38</v>
      </c>
      <c r="AD31" s="194"/>
      <c r="AE31" s="195">
        <f t="shared" si="6"/>
        <v>15</v>
      </c>
      <c r="AF31" s="196" t="s">
        <v>99</v>
      </c>
      <c r="AG31" s="195">
        <f t="shared" si="7"/>
        <v>45</v>
      </c>
      <c r="AI31" s="160">
        <v>9.3700000000000006E-2</v>
      </c>
      <c r="AJ31" s="197" t="s">
        <v>41</v>
      </c>
      <c r="AK31" s="160">
        <f t="shared" si="1"/>
        <v>0.3445742471112157</v>
      </c>
      <c r="AL31" s="160">
        <f t="shared" si="2"/>
        <v>0.3445742471112157</v>
      </c>
      <c r="AM31" s="198">
        <f t="shared" si="3"/>
        <v>38</v>
      </c>
      <c r="AN31" s="198">
        <f t="shared" si="4"/>
        <v>15</v>
      </c>
      <c r="AO31" s="198">
        <f t="shared" si="5"/>
        <v>45</v>
      </c>
      <c r="AP31" s="160"/>
      <c r="AQ31" s="160"/>
      <c r="AR31" s="160"/>
      <c r="AS31" s="160"/>
      <c r="AT31" s="199">
        <f>IF(ISNUMBER('301 Spec_New_Table'!D37),'301 Spec_New_Table'!D37,"")</f>
        <v>15</v>
      </c>
      <c r="AU31" s="199">
        <f>IF(ISNUMBER('301 Spec_New_Table'!D38),'301 Spec_New_Table'!D38,"")</f>
        <v>45</v>
      </c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</row>
    <row r="32" spans="1:64" ht="24" customHeight="1" x14ac:dyDescent="0.25">
      <c r="A32" s="131" t="s">
        <v>42</v>
      </c>
      <c r="B32" s="165"/>
      <c r="C32" s="71">
        <v>1</v>
      </c>
      <c r="D32" s="189"/>
      <c r="E32" s="73">
        <v>1</v>
      </c>
      <c r="F32" s="189"/>
      <c r="G32" s="73"/>
      <c r="H32" s="189"/>
      <c r="I32" s="75"/>
      <c r="J32" s="189"/>
      <c r="K32" s="71">
        <v>63</v>
      </c>
      <c r="L32" s="189"/>
      <c r="M32" s="73"/>
      <c r="N32" s="189"/>
      <c r="O32" s="73"/>
      <c r="P32" s="189"/>
      <c r="Q32" s="75"/>
      <c r="R32" s="189"/>
      <c r="S32" s="78">
        <v>100</v>
      </c>
      <c r="T32" s="189"/>
      <c r="U32" s="190">
        <f>IF($U$21&gt;0,'RAP 1'!H23,0)</f>
        <v>36</v>
      </c>
      <c r="V32" s="189"/>
      <c r="W32" s="191">
        <f>IF($W$21&gt;0,'RAP 2'!H23,0)</f>
        <v>0</v>
      </c>
      <c r="X32" s="189"/>
      <c r="Y32" s="192">
        <f>IF($Y$21&gt;0,'RAP 3'!H23,0)</f>
        <v>0</v>
      </c>
      <c r="Z32" s="189"/>
      <c r="AA32" s="193">
        <f t="shared" si="0"/>
        <v>28</v>
      </c>
      <c r="AB32" s="177"/>
      <c r="AC32" s="81">
        <v>28</v>
      </c>
      <c r="AD32" s="194"/>
      <c r="AE32" s="195">
        <f t="shared" si="6"/>
        <v>10</v>
      </c>
      <c r="AF32" s="196" t="s">
        <v>99</v>
      </c>
      <c r="AG32" s="195">
        <f t="shared" si="7"/>
        <v>35</v>
      </c>
      <c r="AI32" s="160">
        <v>4.6899999999999997E-2</v>
      </c>
      <c r="AJ32" s="197" t="s">
        <v>42</v>
      </c>
      <c r="AK32" s="160">
        <f t="shared" si="1"/>
        <v>0.2523642189622568</v>
      </c>
      <c r="AL32" s="160">
        <f t="shared" si="2"/>
        <v>0.2523642189622568</v>
      </c>
      <c r="AM32" s="198">
        <f t="shared" si="3"/>
        <v>28</v>
      </c>
      <c r="AN32" s="198">
        <f t="shared" si="4"/>
        <v>10</v>
      </c>
      <c r="AO32" s="198">
        <f t="shared" si="5"/>
        <v>35</v>
      </c>
      <c r="AP32" s="160"/>
      <c r="AQ32" s="160"/>
      <c r="AR32" s="160"/>
      <c r="AS32" s="160"/>
      <c r="AT32" s="199">
        <f>IF(ISNUMBER('301 Spec_New_Table'!D39),'301 Spec_New_Table'!D39,"")</f>
        <v>10</v>
      </c>
      <c r="AU32" s="199">
        <f>IF(ISNUMBER('301 Spec_New_Table'!D40),'301 Spec_New_Table'!D40,"")</f>
        <v>35</v>
      </c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</row>
    <row r="33" spans="1:64" ht="24" customHeight="1" x14ac:dyDescent="0.25">
      <c r="A33" s="131" t="s">
        <v>43</v>
      </c>
      <c r="B33" s="165"/>
      <c r="C33" s="71">
        <v>1</v>
      </c>
      <c r="D33" s="189"/>
      <c r="E33" s="73">
        <v>1</v>
      </c>
      <c r="F33" s="189"/>
      <c r="G33" s="73"/>
      <c r="H33" s="189"/>
      <c r="I33" s="75"/>
      <c r="J33" s="189"/>
      <c r="K33" s="71">
        <v>40</v>
      </c>
      <c r="L33" s="189"/>
      <c r="M33" s="73"/>
      <c r="N33" s="189"/>
      <c r="O33" s="73"/>
      <c r="P33" s="189"/>
      <c r="Q33" s="75"/>
      <c r="R33" s="189"/>
      <c r="S33" s="78">
        <v>95</v>
      </c>
      <c r="T33" s="189"/>
      <c r="U33" s="190">
        <f>IF($U$21&gt;0,'RAP 1'!H24,0)</f>
        <v>25</v>
      </c>
      <c r="V33" s="189"/>
      <c r="W33" s="191">
        <f>IF($W$21&gt;0,'RAP 2'!H24,0)</f>
        <v>0</v>
      </c>
      <c r="X33" s="189"/>
      <c r="Y33" s="192">
        <f>IF($Y$21&gt;0,'RAP 3'!H24,0)</f>
        <v>0</v>
      </c>
      <c r="Z33" s="189"/>
      <c r="AA33" s="193">
        <f t="shared" si="0"/>
        <v>19</v>
      </c>
      <c r="AB33" s="177"/>
      <c r="AC33" s="81">
        <v>20</v>
      </c>
      <c r="AD33" s="194"/>
      <c r="AE33" s="195" t="str">
        <f t="shared" si="6"/>
        <v/>
      </c>
      <c r="AF33" s="196" t="s">
        <v>99</v>
      </c>
      <c r="AG33" s="195" t="str">
        <f t="shared" si="7"/>
        <v/>
      </c>
      <c r="AI33" s="160">
        <v>2.3400000000000001E-2</v>
      </c>
      <c r="AJ33" s="197" t="s">
        <v>43</v>
      </c>
      <c r="AK33" s="160">
        <f t="shared" si="1"/>
        <v>0.18456406029791109</v>
      </c>
      <c r="AL33" s="160">
        <f t="shared" si="2"/>
        <v>0.18456406029791109</v>
      </c>
      <c r="AM33" s="198">
        <f t="shared" si="3"/>
        <v>20</v>
      </c>
      <c r="AN33" s="198" t="e">
        <f t="shared" si="4"/>
        <v>#N/A</v>
      </c>
      <c r="AO33" s="198" t="e">
        <f t="shared" si="5"/>
        <v>#N/A</v>
      </c>
      <c r="AP33" s="160"/>
      <c r="AQ33" s="160"/>
      <c r="AR33" s="160"/>
      <c r="AS33" s="160"/>
      <c r="AT33" s="199" t="str">
        <f>IF(ISNUMBER('301 Spec_New_Table'!D41),'301 Spec_New_Table'!D41,"")</f>
        <v/>
      </c>
      <c r="AU33" s="199" t="str">
        <f>IF(ISNUMBER('301 Spec_New_Table'!D42),'301 Spec_New_Table'!D42,"")</f>
        <v/>
      </c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</row>
    <row r="34" spans="1:64" ht="24" customHeight="1" x14ac:dyDescent="0.25">
      <c r="A34" s="131" t="s">
        <v>44</v>
      </c>
      <c r="B34" s="165"/>
      <c r="C34" s="71">
        <v>1</v>
      </c>
      <c r="D34" s="189"/>
      <c r="E34" s="73">
        <v>1</v>
      </c>
      <c r="F34" s="189"/>
      <c r="G34" s="73"/>
      <c r="H34" s="189"/>
      <c r="I34" s="75"/>
      <c r="J34" s="189"/>
      <c r="K34" s="71">
        <v>18</v>
      </c>
      <c r="L34" s="189"/>
      <c r="M34" s="73"/>
      <c r="N34" s="189"/>
      <c r="O34" s="73"/>
      <c r="P34" s="189"/>
      <c r="Q34" s="75"/>
      <c r="R34" s="189"/>
      <c r="S34" s="78">
        <v>90</v>
      </c>
      <c r="T34" s="189"/>
      <c r="U34" s="190">
        <f>IF($U$21&gt;0,'RAP 1'!H25,0)</f>
        <v>16</v>
      </c>
      <c r="V34" s="189"/>
      <c r="W34" s="191">
        <f>IF($W$21&gt;0,'RAP 2'!H25,0)</f>
        <v>0</v>
      </c>
      <c r="X34" s="189"/>
      <c r="Y34" s="192">
        <f>IF($Y$21&gt;0,'RAP 3'!H25,0)</f>
        <v>0</v>
      </c>
      <c r="Z34" s="189"/>
      <c r="AA34" s="193">
        <f t="shared" si="0"/>
        <v>12</v>
      </c>
      <c r="AB34" s="177"/>
      <c r="AC34" s="81">
        <v>12</v>
      </c>
      <c r="AD34" s="194"/>
      <c r="AE34" s="195">
        <f t="shared" si="6"/>
        <v>3</v>
      </c>
      <c r="AF34" s="196" t="s">
        <v>99</v>
      </c>
      <c r="AG34" s="195">
        <f t="shared" si="7"/>
        <v>18</v>
      </c>
      <c r="AI34" s="160">
        <v>1.17E-2</v>
      </c>
      <c r="AJ34" s="197" t="s">
        <v>44</v>
      </c>
      <c r="AK34" s="160">
        <f t="shared" si="1"/>
        <v>0.13510880033390882</v>
      </c>
      <c r="AL34" s="160">
        <f t="shared" si="2"/>
        <v>0.13510880033390882</v>
      </c>
      <c r="AM34" s="198">
        <f t="shared" si="3"/>
        <v>12</v>
      </c>
      <c r="AN34" s="198">
        <f t="shared" si="4"/>
        <v>3</v>
      </c>
      <c r="AO34" s="198">
        <f t="shared" si="5"/>
        <v>18</v>
      </c>
      <c r="AP34" s="160"/>
      <c r="AQ34" s="160"/>
      <c r="AR34" s="160"/>
      <c r="AS34" s="160"/>
      <c r="AT34" s="199">
        <f>IF(ISNUMBER('301 Spec_New_Table'!D43),'301 Spec_New_Table'!D43,"")</f>
        <v>3</v>
      </c>
      <c r="AU34" s="199">
        <f>IF(ISNUMBER('301 Spec_New_Table'!D44),'301 Spec_New_Table'!D44,"")</f>
        <v>18</v>
      </c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</row>
    <row r="35" spans="1:64" ht="24" customHeight="1" x14ac:dyDescent="0.25">
      <c r="A35" s="131" t="s">
        <v>45</v>
      </c>
      <c r="B35" s="165"/>
      <c r="C35" s="71">
        <v>1</v>
      </c>
      <c r="D35" s="189"/>
      <c r="E35" s="73">
        <v>1</v>
      </c>
      <c r="F35" s="189"/>
      <c r="G35" s="73"/>
      <c r="H35" s="189"/>
      <c r="I35" s="75"/>
      <c r="J35" s="189"/>
      <c r="K35" s="71">
        <v>6</v>
      </c>
      <c r="L35" s="189"/>
      <c r="M35" s="73"/>
      <c r="N35" s="189"/>
      <c r="O35" s="73"/>
      <c r="P35" s="189"/>
      <c r="Q35" s="75"/>
      <c r="R35" s="189"/>
      <c r="S35" s="78">
        <v>85</v>
      </c>
      <c r="T35" s="189"/>
      <c r="U35" s="190">
        <f>IF($U$21&gt;0,'RAP 1'!H26,0)</f>
        <v>10</v>
      </c>
      <c r="V35" s="189"/>
      <c r="W35" s="191">
        <f>IF($W$21&gt;0,'RAP 2'!H26,0)</f>
        <v>0</v>
      </c>
      <c r="X35" s="189"/>
      <c r="Y35" s="192">
        <f>IF($Y$21&gt;0,'RAP 3'!H26,0)</f>
        <v>0</v>
      </c>
      <c r="Z35" s="189"/>
      <c r="AA35" s="193">
        <f t="shared" si="0"/>
        <v>7</v>
      </c>
      <c r="AB35" s="177"/>
      <c r="AC35" s="81">
        <v>7</v>
      </c>
      <c r="AD35" s="194"/>
      <c r="AE35" s="195" t="str">
        <f t="shared" si="6"/>
        <v/>
      </c>
      <c r="AF35" s="196" t="s">
        <v>99</v>
      </c>
      <c r="AG35" s="195" t="str">
        <f t="shared" si="7"/>
        <v/>
      </c>
      <c r="AI35" s="160">
        <v>5.8999999999999999E-3</v>
      </c>
      <c r="AJ35" s="197" t="s">
        <v>45</v>
      </c>
      <c r="AK35" s="160">
        <f t="shared" si="1"/>
        <v>9.9284946297893126E-2</v>
      </c>
      <c r="AL35" s="160">
        <f t="shared" si="2"/>
        <v>9.9284946297893126E-2</v>
      </c>
      <c r="AM35" s="198">
        <f t="shared" si="3"/>
        <v>7</v>
      </c>
      <c r="AN35" s="198" t="e">
        <f t="shared" si="4"/>
        <v>#N/A</v>
      </c>
      <c r="AO35" s="198" t="e">
        <f t="shared" si="5"/>
        <v>#N/A</v>
      </c>
      <c r="AP35" s="160"/>
      <c r="AQ35" s="160"/>
      <c r="AR35" s="160"/>
      <c r="AS35" s="160"/>
      <c r="AT35" s="199" t="str">
        <f>IF(ISNUMBER('301 Spec_New_Table'!D45),'301 Spec_New_Table'!D45,"")</f>
        <v/>
      </c>
      <c r="AU35" s="199" t="str">
        <f>IF(ISNUMBER('301 Spec_New_Table'!D46),'301 Spec_New_Table'!D46,"")</f>
        <v/>
      </c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</row>
    <row r="36" spans="1:64" ht="24" customHeight="1" thickBot="1" x14ac:dyDescent="0.3">
      <c r="A36" s="200" t="s">
        <v>88</v>
      </c>
      <c r="B36" s="165"/>
      <c r="C36" s="72">
        <v>1</v>
      </c>
      <c r="D36" s="201"/>
      <c r="E36" s="74">
        <v>1</v>
      </c>
      <c r="F36" s="201"/>
      <c r="G36" s="74"/>
      <c r="H36" s="201"/>
      <c r="I36" s="76"/>
      <c r="J36" s="177"/>
      <c r="K36" s="72">
        <v>1.9</v>
      </c>
      <c r="L36" s="201"/>
      <c r="M36" s="74"/>
      <c r="N36" s="201"/>
      <c r="O36" s="74"/>
      <c r="P36" s="201"/>
      <c r="Q36" s="76"/>
      <c r="R36" s="177"/>
      <c r="S36" s="79">
        <v>80</v>
      </c>
      <c r="T36" s="177"/>
      <c r="U36" s="202">
        <f>IF($U$21&gt;0,'RAP 1'!H27,0)</f>
        <v>6.2</v>
      </c>
      <c r="V36" s="201"/>
      <c r="W36" s="203">
        <f>IF($W$21&gt;0,'RAP 2'!H27,0)</f>
        <v>0</v>
      </c>
      <c r="X36" s="201"/>
      <c r="Y36" s="204">
        <f>IF($Y$21&gt;0,'RAP 3'!H27,0)</f>
        <v>0</v>
      </c>
      <c r="Z36" s="177"/>
      <c r="AA36" s="205">
        <f>IFERROR(ROUND((($C$21*C36)+($E$21*E36)+($G$21*G36)+($I$21*I36)+($K$21*K36)+($M$21*M36)+($O$21*O36)+($Q$21*Q36)+($S$21*S36)+($U$21*U36)+($W$21*W36)+($Y$21*Y36))/100,1),"Error!")</f>
        <v>4.5999999999999996</v>
      </c>
      <c r="AB36" s="177"/>
      <c r="AC36" s="82">
        <v>4.5999999999999996</v>
      </c>
      <c r="AD36" s="206"/>
      <c r="AE36" s="195">
        <f t="shared" si="6"/>
        <v>1</v>
      </c>
      <c r="AF36" s="196" t="s">
        <v>99</v>
      </c>
      <c r="AG36" s="195">
        <f t="shared" si="7"/>
        <v>7</v>
      </c>
      <c r="AH36" s="17"/>
      <c r="AI36" s="160">
        <v>2.8999999999999998E-3</v>
      </c>
      <c r="AJ36" s="207" t="s">
        <v>88</v>
      </c>
      <c r="AK36" s="160">
        <f t="shared" si="1"/>
        <v>7.2123882811047119E-2</v>
      </c>
      <c r="AL36" s="160">
        <f t="shared" si="2"/>
        <v>7.2123882811047119E-2</v>
      </c>
      <c r="AM36" s="208">
        <f t="shared" si="3"/>
        <v>4.5999999999999996</v>
      </c>
      <c r="AN36" s="198">
        <f t="shared" si="4"/>
        <v>1</v>
      </c>
      <c r="AO36" s="198">
        <f t="shared" si="5"/>
        <v>7</v>
      </c>
      <c r="AP36" s="160"/>
      <c r="AQ36" s="160"/>
      <c r="AR36" s="160"/>
      <c r="AS36" s="160"/>
      <c r="AT36" s="199">
        <f>IF(ISNUMBER('301 Spec_New_Table'!D47),'301 Spec_New_Table'!D47,"")</f>
        <v>1</v>
      </c>
      <c r="AU36" s="199">
        <f>IF(ISNUMBER('301 Spec_New_Table'!D48),'301 Spec_New_Table'!D48,"")</f>
        <v>7</v>
      </c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  <c r="BK36" s="151"/>
      <c r="BL36" s="151"/>
    </row>
    <row r="37" spans="1:64" ht="24" customHeight="1" x14ac:dyDescent="0.25">
      <c r="A37" s="149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50"/>
      <c r="AF37" s="150"/>
      <c r="AG37" s="150"/>
      <c r="AI37" s="117" t="s">
        <v>1243</v>
      </c>
      <c r="AN37" s="209"/>
      <c r="AO37" s="209"/>
      <c r="AT37" s="117"/>
      <c r="AU37" s="117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</row>
    <row r="38" spans="1:64" ht="24" customHeight="1" x14ac:dyDescent="0.25">
      <c r="A38" s="165"/>
      <c r="B38" s="165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50"/>
      <c r="AF38" s="150"/>
      <c r="AG38" s="210" t="str">
        <f>'TRANS. COV.'!AO73</f>
        <v>Ver 0.1</v>
      </c>
      <c r="AI38" s="117" t="e">
        <f>IF(ISNUMBER(AT38),AT38,#N/A)</f>
        <v>#N/A</v>
      </c>
      <c r="AJ38" s="117"/>
      <c r="AK38" s="211" t="e">
        <f>POWER(AI38,0.45)</f>
        <v>#N/A</v>
      </c>
      <c r="AL38" s="117" t="e">
        <f>IF(ISNUMBER(AT38),0,#N/A)</f>
        <v>#N/A</v>
      </c>
      <c r="AM38" s="117"/>
      <c r="AN38" s="117"/>
      <c r="AO38" s="117"/>
      <c r="AP38" s="117"/>
      <c r="AQ38" s="117"/>
      <c r="AR38" s="117"/>
      <c r="AS38" s="117"/>
      <c r="AT38" s="117" t="str">
        <f>IF(ISNUMBER('301 Spec_New_Table'!D77),0,"")</f>
        <v/>
      </c>
      <c r="AU38" s="117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</row>
    <row r="39" spans="1:64" ht="15" customHeight="1" x14ac:dyDescent="0.25">
      <c r="AI39" s="117" t="e">
        <f>IF(ISNUMBER(AT39),AT39,#N/A)</f>
        <v>#N/A</v>
      </c>
      <c r="AJ39" s="117"/>
      <c r="AK39" s="211" t="e">
        <f>POWER(AI39,0.45)</f>
        <v>#N/A</v>
      </c>
      <c r="AL39" s="117" t="e">
        <f>IF(ISNUMBER(AT39),100,#N/A)</f>
        <v>#N/A</v>
      </c>
      <c r="AM39" s="117"/>
      <c r="AN39" s="117"/>
      <c r="AO39" s="117"/>
      <c r="AP39" s="117"/>
      <c r="AQ39" s="117"/>
      <c r="AR39" s="117"/>
      <c r="AS39" s="117"/>
      <c r="AT39" s="117" t="str">
        <f>IF(ISNUMBER('301 Spec_New_Table'!D77),'301 Spec_New_Table'!D77,"")</f>
        <v/>
      </c>
      <c r="AU39" s="117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</row>
    <row r="40" spans="1:64" ht="13.25" customHeight="1" x14ac:dyDescent="0.25">
      <c r="AC40" s="160"/>
      <c r="AD40" s="160"/>
      <c r="AE40" s="151"/>
      <c r="AF40" s="151"/>
      <c r="AT40" s="117"/>
      <c r="AU40" s="117"/>
    </row>
    <row r="41" spans="1:64" ht="13.25" customHeight="1" x14ac:dyDescent="0.25">
      <c r="AC41" s="160"/>
      <c r="AD41" s="160"/>
      <c r="AE41" s="151"/>
      <c r="AF41" s="151"/>
    </row>
    <row r="42" spans="1:64" ht="13.25" customHeight="1" x14ac:dyDescent="0.25">
      <c r="AC42" s="160"/>
      <c r="AD42" s="160"/>
      <c r="AE42" s="151"/>
      <c r="AF42" s="151"/>
    </row>
    <row r="43" spans="1:64" ht="13" customHeight="1" x14ac:dyDescent="0.25">
      <c r="AC43" s="160"/>
      <c r="AD43" s="160"/>
      <c r="AE43" s="151"/>
      <c r="AF43" s="151"/>
    </row>
    <row r="44" spans="1:64" ht="13.25" customHeight="1" x14ac:dyDescent="0.25">
      <c r="AC44" s="160"/>
      <c r="AD44" s="160"/>
      <c r="AE44" s="151"/>
      <c r="AF44" s="151"/>
    </row>
    <row r="45" spans="1:64" ht="13.25" customHeight="1" x14ac:dyDescent="0.25">
      <c r="AC45" s="160"/>
      <c r="AD45" s="160"/>
      <c r="AE45" s="151"/>
      <c r="AF45" s="151"/>
    </row>
    <row r="46" spans="1:64" ht="13.25" customHeight="1" x14ac:dyDescent="0.25">
      <c r="AC46" s="160"/>
      <c r="AD46" s="160"/>
      <c r="AE46" s="151"/>
      <c r="AF46" s="151"/>
    </row>
    <row r="47" spans="1:64" ht="13.25" customHeight="1" x14ac:dyDescent="0.25">
      <c r="AC47" s="160"/>
      <c r="AD47" s="160"/>
      <c r="AE47" s="151"/>
      <c r="AF47" s="151"/>
    </row>
    <row r="48" spans="1:64" ht="13.25" customHeight="1" x14ac:dyDescent="0.25">
      <c r="AC48" s="160"/>
      <c r="AD48" s="160"/>
      <c r="AE48" s="151"/>
      <c r="AF48" s="151"/>
    </row>
    <row r="49" ht="13.25" customHeight="1" x14ac:dyDescent="0.25"/>
    <row r="50" ht="13.25" customHeight="1" x14ac:dyDescent="0.25"/>
    <row r="51" ht="13.25" customHeight="1" x14ac:dyDescent="0.25"/>
    <row r="52" ht="13.25" customHeight="1" x14ac:dyDescent="0.25"/>
    <row r="53" ht="13.25" customHeight="1" x14ac:dyDescent="0.25"/>
    <row r="54" ht="13.25" customHeight="1" x14ac:dyDescent="0.25"/>
    <row r="55" ht="13.25" customHeight="1" x14ac:dyDescent="0.25"/>
    <row r="56" ht="13.25" customHeight="1" x14ac:dyDescent="0.25"/>
    <row r="57" ht="13.25" customHeight="1" x14ac:dyDescent="0.25"/>
    <row r="58" ht="13.25" customHeight="1" x14ac:dyDescent="0.25"/>
    <row r="59" ht="13.25" customHeight="1" x14ac:dyDescent="0.25"/>
    <row r="60" ht="13.25" customHeight="1" x14ac:dyDescent="0.25"/>
    <row r="61" ht="13.25" customHeight="1" x14ac:dyDescent="0.25"/>
    <row r="62" ht="13.25" customHeight="1" x14ac:dyDescent="0.25"/>
    <row r="63" ht="13.25" customHeight="1" x14ac:dyDescent="0.25"/>
    <row r="64" ht="13.25" customHeight="1" x14ac:dyDescent="0.25"/>
    <row r="65" ht="13.25" customHeight="1" x14ac:dyDescent="0.25"/>
    <row r="66" ht="13.25" customHeight="1" x14ac:dyDescent="0.25"/>
    <row r="67" ht="13.25" customHeight="1" x14ac:dyDescent="0.25"/>
    <row r="68" ht="13.25" customHeight="1" x14ac:dyDescent="0.25"/>
    <row r="69" ht="13.25" customHeight="1" x14ac:dyDescent="0.25"/>
    <row r="70" ht="13.25" customHeight="1" x14ac:dyDescent="0.25"/>
    <row r="71" ht="13.25" customHeight="1" x14ac:dyDescent="0.25"/>
    <row r="72" ht="13.25" customHeight="1" x14ac:dyDescent="0.25"/>
    <row r="73" ht="13.25" customHeight="1" x14ac:dyDescent="0.25"/>
    <row r="74" ht="13.25" customHeight="1" x14ac:dyDescent="0.25"/>
    <row r="75" ht="13.25" customHeight="1" x14ac:dyDescent="0.25"/>
    <row r="76" ht="13.25" customHeight="1" x14ac:dyDescent="0.25"/>
    <row r="77" ht="13.25" customHeight="1" x14ac:dyDescent="0.25"/>
    <row r="78" ht="13.25" customHeight="1" x14ac:dyDescent="0.25"/>
    <row r="79" ht="13.25" customHeight="1" x14ac:dyDescent="0.25"/>
    <row r="80" ht="13.25" customHeight="1" x14ac:dyDescent="0.25"/>
    <row r="81" ht="13.25" customHeight="1" x14ac:dyDescent="0.25"/>
    <row r="82" ht="13.25" customHeight="1" x14ac:dyDescent="0.25"/>
    <row r="83" ht="13.25" customHeight="1" x14ac:dyDescent="0.25"/>
    <row r="84" ht="13.25" customHeight="1" x14ac:dyDescent="0.25"/>
    <row r="85" ht="13.25" customHeight="1" x14ac:dyDescent="0.25"/>
    <row r="86" ht="13.25" customHeight="1" x14ac:dyDescent="0.25"/>
    <row r="87" ht="13.25" customHeight="1" x14ac:dyDescent="0.25"/>
  </sheetData>
  <sheetProtection algorithmName="SHA-512" hashValue="VQmubTEpOwo3loq2o4kCgZxxcwSswakAzPJ2tMdALsIu14Bt2hw6GzMljFvTwy6bP4TJjfDilr8HB8nP0hGBGQ==" saltValue="8q7QlP4yrjcChGm8cVPlzw==" spinCount="100000" sheet="1" objects="1" scenarios="1"/>
  <mergeCells count="21">
    <mergeCell ref="A7:AG7"/>
    <mergeCell ref="A9:AG9"/>
    <mergeCell ref="G15:G17"/>
    <mergeCell ref="U15:U17"/>
    <mergeCell ref="E11:F11"/>
    <mergeCell ref="X11:Y11"/>
    <mergeCell ref="M11:S11"/>
    <mergeCell ref="AE23:AG23"/>
    <mergeCell ref="C13:I13"/>
    <mergeCell ref="S15:S17"/>
    <mergeCell ref="W15:W17"/>
    <mergeCell ref="Y15:Y17"/>
    <mergeCell ref="C15:C17"/>
    <mergeCell ref="E15:E17"/>
    <mergeCell ref="K15:K17"/>
    <mergeCell ref="O15:O17"/>
    <mergeCell ref="M15:M17"/>
    <mergeCell ref="I15:I17"/>
    <mergeCell ref="Q15:Q17"/>
    <mergeCell ref="K13:Q13"/>
    <mergeCell ref="U13:Y13"/>
  </mergeCells>
  <phoneticPr fontId="20" type="noConversion"/>
  <conditionalFormatting sqref="C25:C36">
    <cfRule type="expression" dxfId="25" priority="157">
      <formula>C25&gt;C24</formula>
    </cfRule>
  </conditionalFormatting>
  <conditionalFormatting sqref="E25:E36">
    <cfRule type="expression" dxfId="24" priority="97">
      <formula>E25&gt;E24</formula>
    </cfRule>
  </conditionalFormatting>
  <conditionalFormatting sqref="G25:G36">
    <cfRule type="expression" dxfId="23" priority="85">
      <formula>G25&gt;G24</formula>
    </cfRule>
  </conditionalFormatting>
  <conditionalFormatting sqref="I25:I36">
    <cfRule type="expression" dxfId="22" priority="73">
      <formula>I25&gt;I24</formula>
    </cfRule>
  </conditionalFormatting>
  <conditionalFormatting sqref="K25:K36">
    <cfRule type="expression" dxfId="21" priority="61">
      <formula>K25&gt;K24</formula>
    </cfRule>
  </conditionalFormatting>
  <conditionalFormatting sqref="M25:M36">
    <cfRule type="expression" dxfId="20" priority="49">
      <formula>M25&gt;M24</formula>
    </cfRule>
  </conditionalFormatting>
  <conditionalFormatting sqref="O25:O36">
    <cfRule type="expression" dxfId="19" priority="37">
      <formula>O25&gt;O24</formula>
    </cfRule>
  </conditionalFormatting>
  <conditionalFormatting sqref="Q25:Q36">
    <cfRule type="expression" dxfId="18" priority="25">
      <formula>Q25&gt;Q24</formula>
    </cfRule>
  </conditionalFormatting>
  <conditionalFormatting sqref="S25:S36">
    <cfRule type="expression" dxfId="17" priority="13">
      <formula>S25&gt;S24</formula>
    </cfRule>
  </conditionalFormatting>
  <conditionalFormatting sqref="AA24:AA36">
    <cfRule type="cellIs" dxfId="16" priority="169" operator="equal">
      <formula>"Error!"</formula>
    </cfRule>
  </conditionalFormatting>
  <conditionalFormatting sqref="AC25:AC36">
    <cfRule type="expression" dxfId="15" priority="1">
      <formula>AC25&gt;AC24</formula>
    </cfRule>
  </conditionalFormatting>
  <printOptions horizontalCentered="1"/>
  <pageMargins left="0.5" right="0.5" top="0.5" bottom="0.5" header="0.3" footer="0.3"/>
  <pageSetup scale="6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V112"/>
  <sheetViews>
    <sheetView zoomScale="80" zoomScaleNormal="80" workbookViewId="0"/>
  </sheetViews>
  <sheetFormatPr defaultColWidth="8.90625" defaultRowHeight="12.5" x14ac:dyDescent="0.25"/>
  <cols>
    <col min="1" max="1" width="3.81640625" style="17" customWidth="1"/>
    <col min="2" max="3" width="8.81640625" style="17" customWidth="1"/>
    <col min="4" max="7" width="14.36328125" style="17" customWidth="1"/>
    <col min="8" max="8" width="16.81640625" style="17" customWidth="1"/>
    <col min="9" max="10" width="9" style="17" customWidth="1"/>
    <col min="11" max="16384" width="8.90625" style="17"/>
  </cols>
  <sheetData>
    <row r="1" spans="1:13" ht="28.5" customHeight="1" x14ac:dyDescent="0.25">
      <c r="A1" s="212"/>
      <c r="B1" s="212"/>
      <c r="C1" s="212"/>
      <c r="D1" s="212"/>
      <c r="E1" s="213"/>
      <c r="F1" s="213"/>
      <c r="G1" s="212"/>
      <c r="H1" s="212"/>
      <c r="I1" s="212"/>
      <c r="J1" s="212"/>
    </row>
    <row r="2" spans="1:13" ht="9.75" customHeight="1" x14ac:dyDescent="0.25">
      <c r="A2" s="212"/>
      <c r="B2" s="212"/>
      <c r="C2" s="212"/>
      <c r="D2" s="212"/>
      <c r="E2" s="212"/>
      <c r="F2" s="212"/>
      <c r="G2" s="212"/>
      <c r="H2" s="212"/>
      <c r="I2" s="212"/>
      <c r="J2" s="212"/>
    </row>
    <row r="3" spans="1:13" ht="18.75" customHeight="1" x14ac:dyDescent="0.25">
      <c r="A3" s="212"/>
      <c r="B3" s="212"/>
      <c r="C3" s="137"/>
      <c r="D3" s="212"/>
      <c r="E3" s="214"/>
      <c r="F3" s="214"/>
      <c r="G3" s="212"/>
      <c r="H3" s="212"/>
      <c r="I3" s="212"/>
      <c r="J3" s="212"/>
    </row>
    <row r="4" spans="1:13" ht="18.75" customHeight="1" x14ac:dyDescent="0.25">
      <c r="A4" s="212"/>
      <c r="B4" s="212"/>
      <c r="C4" s="212"/>
      <c r="D4" s="212"/>
      <c r="E4" s="212"/>
      <c r="F4" s="212"/>
      <c r="G4" s="212"/>
      <c r="H4" s="212"/>
      <c r="I4" s="212"/>
      <c r="J4" s="212"/>
    </row>
    <row r="5" spans="1:13" ht="18.75" customHeight="1" x14ac:dyDescent="0.25">
      <c r="A5" s="212"/>
      <c r="B5" s="212"/>
      <c r="C5" s="137"/>
      <c r="D5" s="215"/>
      <c r="E5" s="212"/>
      <c r="F5" s="212"/>
      <c r="G5" s="137"/>
      <c r="H5" s="212"/>
      <c r="I5" s="137"/>
      <c r="J5" s="212"/>
    </row>
    <row r="6" spans="1:13" ht="18.75" customHeight="1" x14ac:dyDescent="0.25">
      <c r="A6" s="212"/>
      <c r="B6" s="657" t="s">
        <v>102</v>
      </c>
      <c r="C6" s="657"/>
      <c r="D6" s="657"/>
      <c r="E6" s="657"/>
      <c r="F6" s="657"/>
      <c r="G6" s="657"/>
      <c r="H6" s="657"/>
      <c r="I6" s="137"/>
      <c r="J6" s="212"/>
    </row>
    <row r="7" spans="1:13" ht="18.75" customHeight="1" x14ac:dyDescent="0.25">
      <c r="A7" s="212"/>
      <c r="B7" s="212"/>
      <c r="C7" s="212"/>
      <c r="D7" s="212"/>
      <c r="E7" s="212"/>
      <c r="F7" s="212"/>
      <c r="G7" s="212"/>
      <c r="H7" s="212"/>
      <c r="I7" s="212"/>
      <c r="J7" s="212"/>
    </row>
    <row r="8" spans="1:13" ht="18.75" customHeight="1" x14ac:dyDescent="0.25">
      <c r="A8" s="212"/>
      <c r="B8" s="658" t="s">
        <v>1238</v>
      </c>
      <c r="C8" s="658"/>
      <c r="D8" s="658"/>
      <c r="E8" s="658"/>
      <c r="F8" s="658"/>
      <c r="G8" s="658"/>
      <c r="H8" s="658"/>
      <c r="I8" s="137"/>
      <c r="J8" s="212"/>
    </row>
    <row r="9" spans="1:13" ht="18.75" customHeight="1" thickBot="1" x14ac:dyDescent="0.3">
      <c r="A9" s="212"/>
      <c r="B9" s="212"/>
      <c r="C9" s="212"/>
      <c r="D9" s="212"/>
      <c r="E9" s="212"/>
      <c r="F9" s="212"/>
      <c r="G9" s="212"/>
      <c r="H9" s="212"/>
      <c r="I9" s="212"/>
      <c r="J9" s="212"/>
    </row>
    <row r="10" spans="1:13" ht="18.75" customHeight="1" x14ac:dyDescent="0.25">
      <c r="A10" s="149"/>
      <c r="B10" s="216" t="s">
        <v>1244</v>
      </c>
      <c r="C10" s="134"/>
      <c r="D10" s="217" t="str">
        <f>IF('TRANS. COV.'!U29&lt;&gt;"",'TRANS. COV.'!U29,"")</f>
        <v>24-5678</v>
      </c>
      <c r="E10" s="218"/>
      <c r="F10" s="219" t="s">
        <v>123</v>
      </c>
      <c r="G10" s="664" t="str">
        <f>IF('TRANS. COV.'!U35&lt;&gt;"",'TRANS. COV.'!U35,"")</f>
        <v>301 Base</v>
      </c>
      <c r="H10" s="664"/>
      <c r="I10" s="212"/>
      <c r="J10" s="212"/>
    </row>
    <row r="11" spans="1:13" s="102" customFormat="1" ht="18.75" customHeight="1" x14ac:dyDescent="0.25">
      <c r="A11" s="101"/>
      <c r="B11" s="220" t="s">
        <v>363</v>
      </c>
      <c r="C11" s="101"/>
      <c r="D11" s="662" t="s">
        <v>2100</v>
      </c>
      <c r="E11" s="662"/>
      <c r="F11" s="662"/>
      <c r="G11" s="662"/>
      <c r="H11" s="221"/>
      <c r="I11" s="101"/>
      <c r="J11" s="101"/>
      <c r="K11" s="102" t="s">
        <v>1239</v>
      </c>
      <c r="L11" s="146"/>
      <c r="M11" s="117"/>
    </row>
    <row r="12" spans="1:13" ht="18.75" customHeight="1" thickBot="1" x14ac:dyDescent="0.3">
      <c r="A12" s="149"/>
      <c r="B12" s="222"/>
      <c r="C12" s="223"/>
      <c r="D12" s="223"/>
      <c r="E12" s="223"/>
      <c r="F12" s="223"/>
      <c r="G12" s="223"/>
      <c r="H12" s="224"/>
      <c r="I12" s="212"/>
      <c r="J12" s="212"/>
    </row>
    <row r="13" spans="1:13" ht="18.75" customHeight="1" thickTop="1" x14ac:dyDescent="0.25">
      <c r="A13" s="149"/>
      <c r="B13" s="225" t="s">
        <v>62</v>
      </c>
      <c r="C13" s="226" t="s">
        <v>63</v>
      </c>
      <c r="D13" s="227" t="s">
        <v>64</v>
      </c>
      <c r="E13" s="228" t="s">
        <v>65</v>
      </c>
      <c r="F13" s="228" t="s">
        <v>89</v>
      </c>
      <c r="G13" s="229" t="s">
        <v>90</v>
      </c>
      <c r="H13" s="230" t="s">
        <v>66</v>
      </c>
      <c r="I13" s="231"/>
      <c r="J13" s="212"/>
    </row>
    <row r="14" spans="1:13" ht="18.75" customHeight="1" thickBot="1" x14ac:dyDescent="0.3">
      <c r="A14" s="149"/>
      <c r="B14" s="232" t="s">
        <v>30</v>
      </c>
      <c r="C14" s="233" t="s">
        <v>30</v>
      </c>
      <c r="D14" s="234" t="s">
        <v>67</v>
      </c>
      <c r="E14" s="235" t="s">
        <v>67</v>
      </c>
      <c r="F14" s="236" t="s">
        <v>67</v>
      </c>
      <c r="G14" s="237" t="s">
        <v>67</v>
      </c>
      <c r="H14" s="238" t="s">
        <v>68</v>
      </c>
      <c r="I14" s="112" t="s">
        <v>121</v>
      </c>
      <c r="J14" s="212"/>
    </row>
    <row r="15" spans="1:13" ht="18.75" customHeight="1" thickTop="1" x14ac:dyDescent="0.25">
      <c r="A15" s="149"/>
      <c r="B15" s="239">
        <v>50.8</v>
      </c>
      <c r="C15" s="240" t="s">
        <v>9</v>
      </c>
      <c r="D15" s="83">
        <v>100</v>
      </c>
      <c r="E15" s="84">
        <v>100</v>
      </c>
      <c r="F15" s="84">
        <v>100</v>
      </c>
      <c r="G15" s="85">
        <v>100</v>
      </c>
      <c r="H15" s="241">
        <f t="shared" ref="H15:H26" si="0">IF(COUNTIF(D15:G15,"*")=0,IFERROR(ROUND(AVERAGE(D15:G15),0),0),"Error! Check Format")</f>
        <v>100</v>
      </c>
      <c r="I15" s="242">
        <f>COUNTIF(D28,"&gt;0")+COUNTIF(E28,"&gt;0")+COUNTIF(F28,"&gt;0")+COUNTIF(G28,"&gt;0")</f>
        <v>4</v>
      </c>
      <c r="J15" s="243" t="str">
        <f>IF(I15=4,"OK","Not OK")</f>
        <v>OK</v>
      </c>
    </row>
    <row r="16" spans="1:13" ht="18.75" customHeight="1" x14ac:dyDescent="0.25">
      <c r="A16" s="149"/>
      <c r="B16" s="244">
        <v>38.1</v>
      </c>
      <c r="C16" s="245" t="s">
        <v>10</v>
      </c>
      <c r="D16" s="86">
        <v>100</v>
      </c>
      <c r="E16" s="70">
        <v>100</v>
      </c>
      <c r="F16" s="70">
        <v>100</v>
      </c>
      <c r="G16" s="87">
        <v>100</v>
      </c>
      <c r="H16" s="241">
        <f t="shared" si="0"/>
        <v>100</v>
      </c>
      <c r="I16" s="246"/>
      <c r="J16" s="14"/>
    </row>
    <row r="17" spans="1:17" ht="18.75" customHeight="1" x14ac:dyDescent="0.25">
      <c r="A17" s="149"/>
      <c r="B17" s="244">
        <v>25.4</v>
      </c>
      <c r="C17" s="247" t="s">
        <v>11</v>
      </c>
      <c r="D17" s="86">
        <v>100</v>
      </c>
      <c r="E17" s="70">
        <v>100</v>
      </c>
      <c r="F17" s="70">
        <v>100</v>
      </c>
      <c r="G17" s="87">
        <v>100</v>
      </c>
      <c r="H17" s="241">
        <f t="shared" si="0"/>
        <v>100</v>
      </c>
      <c r="I17" s="246"/>
      <c r="J17" s="14"/>
    </row>
    <row r="18" spans="1:17" ht="18.75" customHeight="1" x14ac:dyDescent="0.25">
      <c r="A18" s="149"/>
      <c r="B18" s="244">
        <v>19</v>
      </c>
      <c r="C18" s="247" t="s">
        <v>12</v>
      </c>
      <c r="D18" s="86">
        <v>100</v>
      </c>
      <c r="E18" s="70">
        <v>100</v>
      </c>
      <c r="F18" s="70">
        <v>100</v>
      </c>
      <c r="G18" s="87">
        <v>100</v>
      </c>
      <c r="H18" s="241">
        <f t="shared" si="0"/>
        <v>100</v>
      </c>
      <c r="I18" s="246"/>
      <c r="J18" s="14"/>
    </row>
    <row r="19" spans="1:17" ht="18.75" customHeight="1" x14ac:dyDescent="0.25">
      <c r="A19" s="149"/>
      <c r="B19" s="244">
        <v>12.5</v>
      </c>
      <c r="C19" s="247" t="s">
        <v>13</v>
      </c>
      <c r="D19" s="86">
        <v>99</v>
      </c>
      <c r="E19" s="70">
        <v>99</v>
      </c>
      <c r="F19" s="70">
        <v>99</v>
      </c>
      <c r="G19" s="87">
        <v>99</v>
      </c>
      <c r="H19" s="241">
        <f t="shared" si="0"/>
        <v>99</v>
      </c>
      <c r="I19" s="246"/>
      <c r="J19" s="14"/>
    </row>
    <row r="20" spans="1:17" ht="18.75" customHeight="1" x14ac:dyDescent="0.25">
      <c r="A20" s="149"/>
      <c r="B20" s="244">
        <v>9.5</v>
      </c>
      <c r="C20" s="247" t="s">
        <v>14</v>
      </c>
      <c r="D20" s="86">
        <v>96</v>
      </c>
      <c r="E20" s="70">
        <v>97</v>
      </c>
      <c r="F20" s="70">
        <v>96</v>
      </c>
      <c r="G20" s="87">
        <v>96</v>
      </c>
      <c r="H20" s="241">
        <f t="shared" si="0"/>
        <v>96</v>
      </c>
      <c r="I20" s="126" t="s">
        <v>120</v>
      </c>
      <c r="J20" s="14"/>
    </row>
    <row r="21" spans="1:17" ht="18.75" customHeight="1" x14ac:dyDescent="0.25">
      <c r="A21" s="149"/>
      <c r="B21" s="244">
        <v>4.75</v>
      </c>
      <c r="C21" s="247" t="s">
        <v>15</v>
      </c>
      <c r="D21" s="86">
        <v>66</v>
      </c>
      <c r="E21" s="70">
        <v>67</v>
      </c>
      <c r="F21" s="70">
        <v>68</v>
      </c>
      <c r="G21" s="87">
        <v>71</v>
      </c>
      <c r="H21" s="241">
        <f t="shared" si="0"/>
        <v>68</v>
      </c>
      <c r="I21" s="242">
        <f>ROUND(MAX(D21:G21)-MIN(D21:G21),1)</f>
        <v>5</v>
      </c>
      <c r="J21" s="243" t="str">
        <f>IF(I21&lt;=5,"OK","Not OK")</f>
        <v>OK</v>
      </c>
    </row>
    <row r="22" spans="1:17" ht="18.75" customHeight="1" x14ac:dyDescent="0.25">
      <c r="A22" s="149"/>
      <c r="B22" s="244">
        <v>2.36</v>
      </c>
      <c r="C22" s="247" t="s">
        <v>16</v>
      </c>
      <c r="D22" s="86">
        <v>48</v>
      </c>
      <c r="E22" s="70">
        <v>50</v>
      </c>
      <c r="F22" s="70">
        <v>51</v>
      </c>
      <c r="G22" s="87">
        <v>53</v>
      </c>
      <c r="H22" s="241">
        <f t="shared" si="0"/>
        <v>51</v>
      </c>
      <c r="I22" s="248"/>
      <c r="J22" s="14"/>
    </row>
    <row r="23" spans="1:17" ht="18.75" customHeight="1" x14ac:dyDescent="0.25">
      <c r="A23" s="149"/>
      <c r="B23" s="244">
        <v>1.18</v>
      </c>
      <c r="C23" s="247" t="s">
        <v>17</v>
      </c>
      <c r="D23" s="86">
        <v>35</v>
      </c>
      <c r="E23" s="70">
        <v>36</v>
      </c>
      <c r="F23" s="70">
        <v>36</v>
      </c>
      <c r="G23" s="87">
        <v>38</v>
      </c>
      <c r="H23" s="241">
        <f t="shared" si="0"/>
        <v>36</v>
      </c>
      <c r="I23" s="246"/>
      <c r="J23" s="14"/>
    </row>
    <row r="24" spans="1:17" ht="18.75" customHeight="1" x14ac:dyDescent="0.25">
      <c r="A24" s="149"/>
      <c r="B24" s="244">
        <v>0.6</v>
      </c>
      <c r="C24" s="247" t="s">
        <v>18</v>
      </c>
      <c r="D24" s="86">
        <v>24</v>
      </c>
      <c r="E24" s="70">
        <v>25</v>
      </c>
      <c r="F24" s="70">
        <v>25</v>
      </c>
      <c r="G24" s="87">
        <v>26</v>
      </c>
      <c r="H24" s="241">
        <f t="shared" si="0"/>
        <v>25</v>
      </c>
      <c r="I24" s="246"/>
      <c r="J24" s="14"/>
    </row>
    <row r="25" spans="1:17" ht="18.75" customHeight="1" x14ac:dyDescent="0.25">
      <c r="A25" s="149"/>
      <c r="B25" s="244">
        <v>0.3</v>
      </c>
      <c r="C25" s="247" t="s">
        <v>19</v>
      </c>
      <c r="D25" s="86">
        <v>19</v>
      </c>
      <c r="E25" s="70">
        <v>15</v>
      </c>
      <c r="F25" s="70">
        <v>15</v>
      </c>
      <c r="G25" s="87">
        <v>16</v>
      </c>
      <c r="H25" s="241">
        <f t="shared" si="0"/>
        <v>16</v>
      </c>
      <c r="I25" s="246"/>
      <c r="J25" s="14"/>
      <c r="M25" s="128"/>
    </row>
    <row r="26" spans="1:17" ht="18.75" customHeight="1" x14ac:dyDescent="0.25">
      <c r="A26" s="149"/>
      <c r="B26" s="244">
        <v>0.15</v>
      </c>
      <c r="C26" s="247" t="s">
        <v>20</v>
      </c>
      <c r="D26" s="86">
        <v>9</v>
      </c>
      <c r="E26" s="70">
        <v>10</v>
      </c>
      <c r="F26" s="70">
        <v>10</v>
      </c>
      <c r="G26" s="87">
        <v>11</v>
      </c>
      <c r="H26" s="241">
        <f t="shared" si="0"/>
        <v>10</v>
      </c>
      <c r="I26" s="246"/>
      <c r="J26" s="14"/>
    </row>
    <row r="27" spans="1:17" ht="18.75" customHeight="1" x14ac:dyDescent="0.25">
      <c r="A27" s="149"/>
      <c r="B27" s="249">
        <v>7.0000000000000007E-2</v>
      </c>
      <c r="C27" s="250" t="s">
        <v>21</v>
      </c>
      <c r="D27" s="88">
        <v>5.6</v>
      </c>
      <c r="E27" s="89">
        <v>6.1</v>
      </c>
      <c r="F27" s="89">
        <v>6.2</v>
      </c>
      <c r="G27" s="90">
        <v>6.8</v>
      </c>
      <c r="H27" s="251">
        <f>IF(COUNTIF(D27:G27,"*")=0,IFERROR(ROUND(AVERAGE(D27:G27),1),0),"Error! Check Format")</f>
        <v>6.2</v>
      </c>
      <c r="I27" s="252" t="s">
        <v>120</v>
      </c>
      <c r="J27" s="14"/>
    </row>
    <row r="28" spans="1:17" ht="18.75" customHeight="1" thickBot="1" x14ac:dyDescent="0.3">
      <c r="A28" s="149"/>
      <c r="B28" s="253" t="s">
        <v>140</v>
      </c>
      <c r="C28" s="254"/>
      <c r="D28" s="91">
        <v>5.3</v>
      </c>
      <c r="E28" s="92">
        <v>5.4</v>
      </c>
      <c r="F28" s="92">
        <v>5.6</v>
      </c>
      <c r="G28" s="93">
        <v>5.2</v>
      </c>
      <c r="H28" s="255">
        <f>IF(COUNTIF(D28:G28,"*")=0,IFERROR(ROUND(AVERAGE(D28:G28),1),0),"Error! Check Format")</f>
        <v>5.4</v>
      </c>
      <c r="I28" s="256">
        <f>ROUND(MAX(D28:G28)-MIN(D28:G28),1)</f>
        <v>0.4</v>
      </c>
      <c r="J28" s="243" t="str">
        <f>IF(I28&lt;=0.4,"OK","Not OK")</f>
        <v>OK</v>
      </c>
    </row>
    <row r="29" spans="1:17" ht="18.75" customHeight="1" x14ac:dyDescent="0.25">
      <c r="A29" s="149"/>
      <c r="B29" s="149"/>
      <c r="C29" s="149"/>
      <c r="D29" s="149"/>
      <c r="E29" s="149"/>
      <c r="F29" s="149"/>
      <c r="G29" s="149"/>
      <c r="H29" s="149"/>
      <c r="I29" s="248"/>
      <c r="J29" s="212"/>
    </row>
    <row r="30" spans="1:17" ht="18.75" customHeight="1" thickBot="1" x14ac:dyDescent="0.3">
      <c r="A30" s="149"/>
      <c r="B30" s="212"/>
      <c r="C30" s="108" t="s">
        <v>150</v>
      </c>
      <c r="D30" s="663" t="s">
        <v>2071</v>
      </c>
      <c r="E30" s="663"/>
      <c r="F30" s="212"/>
      <c r="G30" s="108" t="s">
        <v>315</v>
      </c>
      <c r="H30" s="663" t="s">
        <v>2072</v>
      </c>
      <c r="I30" s="663"/>
      <c r="J30" s="212"/>
    </row>
    <row r="31" spans="1:17" ht="8" customHeight="1" thickTop="1" x14ac:dyDescent="0.25">
      <c r="A31" s="149"/>
      <c r="B31" s="149"/>
      <c r="C31" s="149"/>
      <c r="D31" s="149"/>
      <c r="E31" s="149"/>
      <c r="F31" s="212"/>
      <c r="G31" s="212"/>
      <c r="H31" s="212"/>
      <c r="I31" s="212"/>
      <c r="J31" s="212"/>
    </row>
    <row r="32" spans="1:17" ht="18.75" customHeight="1" x14ac:dyDescent="0.25">
      <c r="A32" s="212"/>
      <c r="B32" s="212"/>
      <c r="C32" s="212"/>
      <c r="D32" s="212"/>
      <c r="E32" s="212"/>
      <c r="F32" s="149"/>
      <c r="G32" s="108" t="s">
        <v>331</v>
      </c>
      <c r="H32" s="665">
        <v>1.0509999999999999</v>
      </c>
      <c r="I32" s="666"/>
      <c r="J32" s="212"/>
      <c r="L32" s="102"/>
      <c r="M32" s="102"/>
      <c r="O32" s="102"/>
      <c r="Q32" s="102"/>
    </row>
    <row r="33" spans="1:22" ht="18.75" customHeight="1" x14ac:dyDescent="0.25">
      <c r="A33" s="212"/>
      <c r="B33" s="212"/>
      <c r="C33" s="212"/>
      <c r="D33" s="212"/>
      <c r="E33" s="108"/>
      <c r="F33" s="108"/>
      <c r="G33" s="108"/>
      <c r="H33" s="257"/>
      <c r="I33" s="212"/>
      <c r="J33" s="212"/>
    </row>
    <row r="34" spans="1:22" ht="18.75" customHeight="1" x14ac:dyDescent="0.25">
      <c r="A34" s="149"/>
      <c r="B34" s="667" t="s">
        <v>133</v>
      </c>
      <c r="C34" s="667"/>
      <c r="D34" s="149"/>
      <c r="E34" s="149"/>
      <c r="F34" s="149"/>
      <c r="G34" s="149"/>
      <c r="H34" s="149"/>
      <c r="I34" s="212"/>
      <c r="J34" s="212"/>
    </row>
    <row r="35" spans="1:22" ht="18.75" customHeight="1" thickBot="1" x14ac:dyDescent="0.3">
      <c r="A35" s="149"/>
      <c r="B35" s="212"/>
      <c r="C35" s="212"/>
      <c r="D35" s="212"/>
      <c r="E35" s="212"/>
      <c r="F35" s="212"/>
      <c r="G35" s="212"/>
      <c r="H35" s="212"/>
      <c r="I35" s="212"/>
      <c r="J35" s="212"/>
      <c r="L35" s="258"/>
    </row>
    <row r="36" spans="1:22" ht="12" customHeight="1" x14ac:dyDescent="0.25">
      <c r="A36" s="149"/>
      <c r="B36" s="259"/>
      <c r="C36" s="260"/>
      <c r="D36" s="260"/>
      <c r="E36" s="260"/>
      <c r="F36" s="260"/>
      <c r="G36" s="260"/>
      <c r="H36" s="260"/>
      <c r="I36" s="261"/>
      <c r="J36" s="212"/>
      <c r="L36" s="258"/>
    </row>
    <row r="37" spans="1:22" ht="18.75" customHeight="1" x14ac:dyDescent="0.25">
      <c r="A37" s="149"/>
      <c r="B37" s="262"/>
      <c r="C37" s="212"/>
      <c r="D37" s="212"/>
      <c r="E37" s="212"/>
      <c r="F37" s="108" t="s">
        <v>327</v>
      </c>
      <c r="G37" s="678" t="s">
        <v>2101</v>
      </c>
      <c r="H37" s="678"/>
      <c r="I37" s="139"/>
      <c r="J37" s="212"/>
    </row>
    <row r="38" spans="1:22" ht="8" customHeight="1" x14ac:dyDescent="0.25">
      <c r="A38" s="149"/>
      <c r="B38" s="262"/>
      <c r="C38" s="212"/>
      <c r="D38" s="212"/>
      <c r="E38" s="212"/>
      <c r="F38" s="212"/>
      <c r="G38" s="212"/>
      <c r="H38" s="212"/>
      <c r="I38" s="263"/>
      <c r="J38" s="212"/>
    </row>
    <row r="39" spans="1:22" ht="18.75" customHeight="1" x14ac:dyDescent="0.25">
      <c r="A39" s="149"/>
      <c r="B39" s="262"/>
      <c r="C39" s="212"/>
      <c r="D39" s="212"/>
      <c r="E39" s="212"/>
      <c r="F39" s="108" t="s">
        <v>328</v>
      </c>
      <c r="G39" s="678" t="s">
        <v>2102</v>
      </c>
      <c r="H39" s="678"/>
      <c r="I39" s="263"/>
      <c r="J39" s="212"/>
    </row>
    <row r="40" spans="1:22" ht="8" customHeight="1" x14ac:dyDescent="0.25">
      <c r="A40" s="149"/>
      <c r="B40" s="262"/>
      <c r="C40" s="212"/>
      <c r="D40" s="212"/>
      <c r="E40" s="212"/>
      <c r="F40" s="212"/>
      <c r="G40" s="212"/>
      <c r="H40" s="212"/>
      <c r="I40" s="263"/>
      <c r="J40" s="212"/>
    </row>
    <row r="41" spans="1:22" ht="18.75" customHeight="1" x14ac:dyDescent="0.25">
      <c r="A41" s="149"/>
      <c r="B41" s="262"/>
      <c r="C41" s="212"/>
      <c r="D41" s="212"/>
      <c r="E41" s="212"/>
      <c r="F41" s="108" t="s">
        <v>329</v>
      </c>
      <c r="G41" s="678" t="s">
        <v>2097</v>
      </c>
      <c r="H41" s="678"/>
      <c r="I41" s="263"/>
      <c r="J41" s="212"/>
    </row>
    <row r="42" spans="1:22" ht="8" customHeight="1" x14ac:dyDescent="0.25">
      <c r="A42" s="149"/>
      <c r="B42" s="262"/>
      <c r="C42" s="212"/>
      <c r="D42" s="212"/>
      <c r="E42" s="212"/>
      <c r="F42" s="212"/>
      <c r="G42" s="212"/>
      <c r="H42" s="212"/>
      <c r="I42" s="263"/>
      <c r="J42" s="212"/>
    </row>
    <row r="43" spans="1:22" ht="18.75" customHeight="1" x14ac:dyDescent="0.25">
      <c r="A43" s="149"/>
      <c r="B43" s="262"/>
      <c r="C43" s="212"/>
      <c r="D43" s="212"/>
      <c r="E43" s="212"/>
      <c r="F43" s="108" t="s">
        <v>330</v>
      </c>
      <c r="G43" s="679">
        <v>45336</v>
      </c>
      <c r="H43" s="679"/>
      <c r="I43" s="263"/>
      <c r="J43" s="212"/>
    </row>
    <row r="44" spans="1:22" ht="8" customHeight="1" x14ac:dyDescent="0.25">
      <c r="A44" s="149"/>
      <c r="B44" s="262"/>
      <c r="C44" s="212"/>
      <c r="D44" s="212"/>
      <c r="E44" s="212"/>
      <c r="F44" s="212"/>
      <c r="G44" s="212"/>
      <c r="H44" s="212"/>
      <c r="I44" s="263"/>
      <c r="J44" s="212"/>
    </row>
    <row r="45" spans="1:22" ht="18.75" customHeight="1" x14ac:dyDescent="0.25">
      <c r="A45" s="212"/>
      <c r="B45" s="262"/>
      <c r="C45" s="212"/>
      <c r="D45" s="212"/>
      <c r="E45" s="212"/>
      <c r="F45" s="212"/>
      <c r="G45" s="108" t="s">
        <v>1240</v>
      </c>
      <c r="H45" s="94">
        <v>89</v>
      </c>
      <c r="I45" s="263"/>
      <c r="J45" s="212"/>
      <c r="L45" s="102"/>
      <c r="V45" s="102"/>
    </row>
    <row r="46" spans="1:22" ht="8" customHeight="1" x14ac:dyDescent="0.25">
      <c r="A46" s="212"/>
      <c r="B46" s="262"/>
      <c r="C46" s="212"/>
      <c r="D46" s="212"/>
      <c r="E46" s="212"/>
      <c r="F46" s="212"/>
      <c r="G46" s="212"/>
      <c r="H46" s="105"/>
      <c r="I46" s="263"/>
      <c r="J46" s="212"/>
    </row>
    <row r="47" spans="1:22" ht="18.75" customHeight="1" x14ac:dyDescent="0.25">
      <c r="A47" s="212"/>
      <c r="B47" s="262"/>
      <c r="C47" s="212"/>
      <c r="D47" s="212"/>
      <c r="E47" s="212"/>
      <c r="F47" s="212"/>
      <c r="G47" s="108" t="s">
        <v>2061</v>
      </c>
      <c r="H47" s="94">
        <v>15</v>
      </c>
      <c r="I47" s="263"/>
      <c r="J47" s="212"/>
      <c r="L47" s="102"/>
      <c r="V47" s="102"/>
    </row>
    <row r="48" spans="1:22" ht="8" customHeight="1" x14ac:dyDescent="0.25">
      <c r="A48" s="212"/>
      <c r="B48" s="262"/>
      <c r="C48" s="212"/>
      <c r="D48" s="212"/>
      <c r="E48" s="212"/>
      <c r="F48" s="212"/>
      <c r="G48" s="101"/>
      <c r="H48" s="105"/>
      <c r="I48" s="263"/>
      <c r="J48" s="212"/>
    </row>
    <row r="49" spans="1:22" ht="18.75" customHeight="1" x14ac:dyDescent="0.25">
      <c r="A49" s="212"/>
      <c r="B49" s="262"/>
      <c r="C49" s="212"/>
      <c r="D49" s="212"/>
      <c r="E49" s="212"/>
      <c r="F49" s="212"/>
      <c r="G49" s="108" t="s">
        <v>2062</v>
      </c>
      <c r="H49" s="94">
        <v>-8</v>
      </c>
      <c r="I49" s="263"/>
      <c r="J49" s="212"/>
      <c r="L49" s="102"/>
      <c r="V49" s="102"/>
    </row>
    <row r="50" spans="1:22" ht="8" customHeight="1" x14ac:dyDescent="0.25">
      <c r="A50" s="212"/>
      <c r="B50" s="262"/>
      <c r="C50" s="212"/>
      <c r="D50" s="212"/>
      <c r="E50" s="212"/>
      <c r="F50" s="212"/>
      <c r="G50" s="212"/>
      <c r="H50" s="105"/>
      <c r="I50" s="263"/>
      <c r="J50" s="212"/>
    </row>
    <row r="51" spans="1:22" ht="18.75" customHeight="1" x14ac:dyDescent="0.25">
      <c r="A51" s="212"/>
      <c r="B51" s="262"/>
      <c r="C51" s="212"/>
      <c r="D51" s="212"/>
      <c r="E51" s="212"/>
      <c r="F51" s="212"/>
      <c r="G51" s="108" t="s">
        <v>2063</v>
      </c>
      <c r="H51" s="94">
        <v>-6</v>
      </c>
      <c r="I51" s="263"/>
      <c r="J51" s="212"/>
      <c r="L51" s="102"/>
      <c r="V51" s="102"/>
    </row>
    <row r="52" spans="1:22" ht="8" customHeight="1" x14ac:dyDescent="0.25">
      <c r="A52" s="212"/>
      <c r="B52" s="262"/>
      <c r="C52" s="212"/>
      <c r="D52" s="212"/>
      <c r="E52" s="212"/>
      <c r="F52" s="212"/>
      <c r="G52" s="212"/>
      <c r="H52" s="105"/>
      <c r="I52" s="263"/>
      <c r="J52" s="212"/>
    </row>
    <row r="53" spans="1:22" ht="18.75" customHeight="1" x14ac:dyDescent="0.25">
      <c r="A53" s="212"/>
      <c r="B53" s="262"/>
      <c r="C53" s="212"/>
      <c r="D53" s="212"/>
      <c r="E53" s="212"/>
      <c r="F53" s="212"/>
      <c r="G53" s="108" t="s">
        <v>311</v>
      </c>
      <c r="H53" s="99" t="s">
        <v>71</v>
      </c>
      <c r="I53" s="263"/>
      <c r="J53" s="212"/>
    </row>
    <row r="54" spans="1:22" ht="8" customHeight="1" x14ac:dyDescent="0.25">
      <c r="A54" s="212"/>
      <c r="B54" s="262"/>
      <c r="C54" s="101"/>
      <c r="D54" s="108"/>
      <c r="E54" s="108"/>
      <c r="F54" s="108"/>
      <c r="G54" s="112"/>
      <c r="H54" s="112"/>
      <c r="I54" s="263"/>
      <c r="J54" s="212"/>
    </row>
    <row r="55" spans="1:22" ht="18.75" customHeight="1" x14ac:dyDescent="0.25">
      <c r="A55" s="212"/>
      <c r="B55" s="262"/>
      <c r="C55" s="212"/>
      <c r="D55" s="212"/>
      <c r="E55" s="212"/>
      <c r="F55" s="108" t="s">
        <v>332</v>
      </c>
      <c r="G55" s="668" t="s">
        <v>2103</v>
      </c>
      <c r="H55" s="669"/>
      <c r="I55" s="263"/>
      <c r="J55" s="212"/>
      <c r="L55" s="117"/>
    </row>
    <row r="56" spans="1:22" ht="18.75" customHeight="1" x14ac:dyDescent="0.25">
      <c r="A56" s="212"/>
      <c r="B56" s="262"/>
      <c r="C56" s="212"/>
      <c r="D56" s="212"/>
      <c r="E56" s="212"/>
      <c r="F56" s="108"/>
      <c r="G56" s="670"/>
      <c r="H56" s="671"/>
      <c r="I56" s="263"/>
      <c r="J56" s="212"/>
    </row>
    <row r="57" spans="1:22" ht="8" customHeight="1" x14ac:dyDescent="0.25">
      <c r="A57" s="212"/>
      <c r="B57" s="262"/>
      <c r="C57" s="212"/>
      <c r="D57" s="212"/>
      <c r="E57" s="212"/>
      <c r="F57" s="212"/>
      <c r="G57" s="264"/>
      <c r="H57" s="264"/>
      <c r="I57" s="263"/>
      <c r="J57" s="212"/>
    </row>
    <row r="58" spans="1:22" ht="18.75" customHeight="1" x14ac:dyDescent="0.25">
      <c r="A58" s="212"/>
      <c r="B58" s="262"/>
      <c r="C58" s="101"/>
      <c r="D58" s="212"/>
      <c r="E58" s="212"/>
      <c r="F58" s="212"/>
      <c r="G58" s="108" t="s">
        <v>333</v>
      </c>
      <c r="H58" s="89" t="s">
        <v>335</v>
      </c>
      <c r="I58" s="263"/>
      <c r="J58" s="212"/>
    </row>
    <row r="59" spans="1:22" ht="8" customHeight="1" x14ac:dyDescent="0.25">
      <c r="A59" s="212"/>
      <c r="B59" s="262"/>
      <c r="C59" s="212"/>
      <c r="D59" s="212"/>
      <c r="E59" s="212"/>
      <c r="F59" s="212"/>
      <c r="G59" s="212"/>
      <c r="H59" s="212"/>
      <c r="I59" s="263"/>
      <c r="J59" s="212"/>
    </row>
    <row r="60" spans="1:22" ht="18.75" customHeight="1" x14ac:dyDescent="0.25">
      <c r="A60" s="212"/>
      <c r="B60" s="262"/>
      <c r="C60" s="108" t="s">
        <v>326</v>
      </c>
      <c r="D60" s="672"/>
      <c r="E60" s="673"/>
      <c r="F60" s="673"/>
      <c r="G60" s="673"/>
      <c r="H60" s="674"/>
      <c r="I60" s="263"/>
      <c r="J60" s="212"/>
    </row>
    <row r="61" spans="1:22" ht="18.75" customHeight="1" x14ac:dyDescent="0.25">
      <c r="A61" s="212"/>
      <c r="B61" s="262"/>
      <c r="C61" s="108"/>
      <c r="D61" s="675"/>
      <c r="E61" s="676"/>
      <c r="F61" s="676"/>
      <c r="G61" s="676"/>
      <c r="H61" s="677"/>
      <c r="I61" s="263"/>
      <c r="J61" s="212"/>
    </row>
    <row r="62" spans="1:22" ht="12" customHeight="1" thickBot="1" x14ac:dyDescent="0.3">
      <c r="A62" s="212"/>
      <c r="B62" s="265"/>
      <c r="C62" s="266"/>
      <c r="D62" s="266"/>
      <c r="E62" s="266"/>
      <c r="F62" s="266"/>
      <c r="G62" s="266"/>
      <c r="H62" s="266"/>
      <c r="I62" s="267"/>
      <c r="J62" s="212"/>
    </row>
    <row r="63" spans="1:22" ht="18.75" customHeight="1" x14ac:dyDescent="0.25">
      <c r="A63" s="212"/>
      <c r="B63" s="212"/>
      <c r="C63" s="212"/>
      <c r="D63" s="212"/>
      <c r="E63" s="212"/>
      <c r="F63" s="212"/>
      <c r="G63" s="212"/>
      <c r="H63" s="212"/>
      <c r="I63" s="212"/>
      <c r="J63" s="212"/>
    </row>
    <row r="64" spans="1:22" ht="18.75" customHeight="1" x14ac:dyDescent="0.25">
      <c r="A64" s="212"/>
      <c r="B64" s="212"/>
      <c r="C64" s="212"/>
      <c r="D64" s="212"/>
      <c r="E64" s="212"/>
      <c r="F64" s="212"/>
      <c r="G64" s="212"/>
      <c r="H64" s="101"/>
      <c r="I64" s="212"/>
      <c r="J64" s="210" t="str">
        <f>'TRANS. COV.'!AO73</f>
        <v>Ver 0.1</v>
      </c>
    </row>
    <row r="66" spans="2:2" ht="13" x14ac:dyDescent="0.25">
      <c r="B66" s="268"/>
    </row>
    <row r="67" spans="2:2" ht="13" x14ac:dyDescent="0.25">
      <c r="B67" s="268"/>
    </row>
    <row r="68" spans="2:2" ht="13" x14ac:dyDescent="0.25">
      <c r="B68" s="268"/>
    </row>
    <row r="69" spans="2:2" ht="13" x14ac:dyDescent="0.25">
      <c r="B69" s="268"/>
    </row>
    <row r="70" spans="2:2" ht="13" x14ac:dyDescent="0.25">
      <c r="B70" s="268"/>
    </row>
    <row r="71" spans="2:2" ht="13" x14ac:dyDescent="0.25">
      <c r="B71" s="268"/>
    </row>
    <row r="72" spans="2:2" ht="13" x14ac:dyDescent="0.25">
      <c r="B72" s="268"/>
    </row>
    <row r="73" spans="2:2" ht="13" x14ac:dyDescent="0.25">
      <c r="B73" s="268"/>
    </row>
    <row r="74" spans="2:2" ht="13" x14ac:dyDescent="0.25">
      <c r="B74" s="268"/>
    </row>
    <row r="75" spans="2:2" ht="13" x14ac:dyDescent="0.25">
      <c r="B75" s="268"/>
    </row>
    <row r="76" spans="2:2" ht="13" x14ac:dyDescent="0.25">
      <c r="B76" s="268"/>
    </row>
    <row r="77" spans="2:2" ht="13" x14ac:dyDescent="0.25">
      <c r="B77" s="268"/>
    </row>
    <row r="78" spans="2:2" ht="13" x14ac:dyDescent="0.25">
      <c r="B78" s="268"/>
    </row>
    <row r="79" spans="2:2" ht="13" x14ac:dyDescent="0.25">
      <c r="B79" s="268"/>
    </row>
    <row r="80" spans="2:2" ht="13" x14ac:dyDescent="0.25">
      <c r="B80" s="268"/>
    </row>
    <row r="81" spans="2:3" ht="13" x14ac:dyDescent="0.25">
      <c r="B81" s="268"/>
    </row>
    <row r="82" spans="2:3" ht="13" x14ac:dyDescent="0.25">
      <c r="B82" s="268"/>
    </row>
    <row r="83" spans="2:3" ht="13" x14ac:dyDescent="0.25">
      <c r="B83" s="268"/>
    </row>
    <row r="84" spans="2:3" ht="13" x14ac:dyDescent="0.25">
      <c r="B84" s="268"/>
    </row>
    <row r="85" spans="2:3" ht="13" x14ac:dyDescent="0.25">
      <c r="B85" s="268"/>
    </row>
    <row r="86" spans="2:3" ht="13" x14ac:dyDescent="0.25">
      <c r="B86" s="268"/>
    </row>
    <row r="87" spans="2:3" ht="13" x14ac:dyDescent="0.25">
      <c r="B87" s="268"/>
    </row>
    <row r="88" spans="2:3" ht="13" x14ac:dyDescent="0.25">
      <c r="B88" s="268"/>
    </row>
    <row r="89" spans="2:3" ht="13" x14ac:dyDescent="0.25">
      <c r="B89" s="268"/>
    </row>
    <row r="90" spans="2:3" ht="13" x14ac:dyDescent="0.25">
      <c r="B90" s="268"/>
    </row>
    <row r="91" spans="2:3" ht="13" x14ac:dyDescent="0.25">
      <c r="B91" s="268"/>
    </row>
    <row r="92" spans="2:3" ht="13" x14ac:dyDescent="0.25">
      <c r="B92" s="268"/>
    </row>
    <row r="93" spans="2:3" ht="13" x14ac:dyDescent="0.25">
      <c r="C93" s="268"/>
    </row>
    <row r="94" spans="2:3" ht="13" x14ac:dyDescent="0.25">
      <c r="C94" s="268"/>
    </row>
    <row r="95" spans="2:3" ht="13" x14ac:dyDescent="0.25">
      <c r="C95" s="268"/>
    </row>
    <row r="96" spans="2:3" ht="13" x14ac:dyDescent="0.25">
      <c r="C96" s="268"/>
    </row>
    <row r="97" spans="3:3" ht="13" x14ac:dyDescent="0.25">
      <c r="C97" s="268"/>
    </row>
    <row r="98" spans="3:3" ht="13" x14ac:dyDescent="0.25">
      <c r="C98" s="268"/>
    </row>
    <row r="99" spans="3:3" ht="13" x14ac:dyDescent="0.25">
      <c r="C99" s="268"/>
    </row>
    <row r="100" spans="3:3" ht="13" x14ac:dyDescent="0.25">
      <c r="C100" s="268"/>
    </row>
    <row r="101" spans="3:3" ht="13" x14ac:dyDescent="0.25">
      <c r="C101" s="268"/>
    </row>
    <row r="102" spans="3:3" ht="13" x14ac:dyDescent="0.25">
      <c r="C102" s="268"/>
    </row>
    <row r="103" spans="3:3" ht="13" x14ac:dyDescent="0.25">
      <c r="C103" s="268"/>
    </row>
    <row r="104" spans="3:3" ht="13" x14ac:dyDescent="0.25">
      <c r="C104" s="268"/>
    </row>
    <row r="105" spans="3:3" ht="13" x14ac:dyDescent="0.25">
      <c r="C105" s="268"/>
    </row>
    <row r="106" spans="3:3" ht="13" x14ac:dyDescent="0.25">
      <c r="C106" s="268"/>
    </row>
    <row r="107" spans="3:3" ht="13" x14ac:dyDescent="0.25">
      <c r="C107" s="268"/>
    </row>
    <row r="108" spans="3:3" ht="13" x14ac:dyDescent="0.25">
      <c r="C108" s="268"/>
    </row>
    <row r="109" spans="3:3" ht="13" x14ac:dyDescent="0.25">
      <c r="C109" s="268"/>
    </row>
    <row r="110" spans="3:3" ht="13" x14ac:dyDescent="0.25">
      <c r="C110" s="268"/>
    </row>
    <row r="111" spans="3:3" ht="13" x14ac:dyDescent="0.25">
      <c r="C111" s="268"/>
    </row>
    <row r="112" spans="3:3" ht="13" x14ac:dyDescent="0.25">
      <c r="C112" s="268"/>
    </row>
  </sheetData>
  <sheetProtection algorithmName="SHA-512" hashValue="ufaF4W0YjVVBr9OyhUisHUEbhuLfFTYDggIAtAUrSygw7QMC9dHUjN7KOtzIjkE62ru20A2ulPWAjTT3iM+MbA==" saltValue="BXVgadG0Cstz4w7/7LaNMg==" spinCount="100000" sheet="1" objects="1" scenarios="1"/>
  <mergeCells count="14">
    <mergeCell ref="H32:I32"/>
    <mergeCell ref="B34:C34"/>
    <mergeCell ref="G55:H56"/>
    <mergeCell ref="D60:H61"/>
    <mergeCell ref="G37:H37"/>
    <mergeCell ref="G41:H41"/>
    <mergeCell ref="G39:H39"/>
    <mergeCell ref="G43:H43"/>
    <mergeCell ref="B6:H6"/>
    <mergeCell ref="B8:H8"/>
    <mergeCell ref="D11:G11"/>
    <mergeCell ref="D30:E30"/>
    <mergeCell ref="H30:I30"/>
    <mergeCell ref="G10:H10"/>
  </mergeCells>
  <phoneticPr fontId="20" type="noConversion"/>
  <conditionalFormatting sqref="D16:G27">
    <cfRule type="expression" dxfId="14" priority="2">
      <formula>D16&gt;D15</formula>
    </cfRule>
  </conditionalFormatting>
  <conditionalFormatting sqref="H15:H28">
    <cfRule type="cellIs" dxfId="13" priority="31" operator="equal">
      <formula>"Error! Check Format"</formula>
    </cfRule>
  </conditionalFormatting>
  <conditionalFormatting sqref="J15">
    <cfRule type="cellIs" dxfId="12" priority="30" operator="equal">
      <formula>"Not OK"</formula>
    </cfRule>
  </conditionalFormatting>
  <conditionalFormatting sqref="J21">
    <cfRule type="cellIs" dxfId="11" priority="28" operator="equal">
      <formula>"Not OK"</formula>
    </cfRule>
  </conditionalFormatting>
  <conditionalFormatting sqref="J28">
    <cfRule type="cellIs" dxfId="10" priority="27" operator="equal">
      <formula>"Not OK"</formula>
    </cfRule>
  </conditionalFormatting>
  <dataValidations count="3">
    <dataValidation type="list" allowBlank="1" showInputMessage="1" showErrorMessage="1" sqref="D30:E30" xr:uid="{00000000-0002-0000-0700-000000000000}">
      <formula1>"Method 1,Method 2"</formula1>
    </dataValidation>
    <dataValidation type="list" allowBlank="1" showInputMessage="1" showErrorMessage="1" sqref="H30:I30" xr:uid="{00000000-0002-0000-0700-000001000000}">
      <formula1>"GR,LS,Slag,GR/LS,GR/Slag,LS/Slag,GR/LS/Slag"</formula1>
    </dataValidation>
    <dataValidation type="list" allowBlank="1" showInputMessage="1" showErrorMessage="1" sqref="H53" xr:uid="{F5EC2438-E0C0-4163-9763-6ADEF740A97F}">
      <formula1>"Yes,No"</formula1>
    </dataValidation>
  </dataValidations>
  <printOptions horizontalCentered="1"/>
  <pageMargins left="0.5" right="0.5" top="0.5" bottom="0.5" header="0.3" footer="0.3"/>
  <pageSetup scale="6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fitToPage="1"/>
  </sheetPr>
  <dimension ref="A1:V112"/>
  <sheetViews>
    <sheetView zoomScale="80" zoomScaleNormal="80" workbookViewId="0"/>
  </sheetViews>
  <sheetFormatPr defaultColWidth="8.90625" defaultRowHeight="12.5" x14ac:dyDescent="0.25"/>
  <cols>
    <col min="1" max="1" width="3.81640625" style="17" customWidth="1"/>
    <col min="2" max="3" width="8.81640625" style="17" customWidth="1"/>
    <col min="4" max="7" width="14.36328125" style="17" customWidth="1"/>
    <col min="8" max="8" width="16.81640625" style="17" customWidth="1"/>
    <col min="9" max="10" width="9" style="17" customWidth="1"/>
    <col min="11" max="16384" width="8.90625" style="17"/>
  </cols>
  <sheetData>
    <row r="1" spans="1:11" ht="28.5" customHeight="1" x14ac:dyDescent="0.25">
      <c r="A1" s="212"/>
      <c r="B1" s="212"/>
      <c r="C1" s="212"/>
      <c r="D1" s="212"/>
      <c r="E1" s="213"/>
      <c r="F1" s="213"/>
      <c r="G1" s="212"/>
      <c r="H1" s="212"/>
      <c r="I1" s="212"/>
      <c r="J1" s="212"/>
    </row>
    <row r="2" spans="1:11" ht="9.75" customHeight="1" x14ac:dyDescent="0.25">
      <c r="A2" s="212"/>
      <c r="B2" s="212"/>
      <c r="C2" s="212"/>
      <c r="D2" s="212"/>
      <c r="E2" s="212"/>
      <c r="F2" s="212"/>
      <c r="G2" s="212"/>
      <c r="H2" s="212"/>
      <c r="I2" s="212"/>
      <c r="J2" s="212"/>
    </row>
    <row r="3" spans="1:11" ht="18.75" customHeight="1" x14ac:dyDescent="0.25">
      <c r="A3" s="212"/>
      <c r="B3" s="212"/>
      <c r="C3" s="137"/>
      <c r="D3" s="212"/>
      <c r="E3" s="214"/>
      <c r="F3" s="214"/>
      <c r="G3" s="212"/>
      <c r="H3" s="212"/>
      <c r="I3" s="212"/>
      <c r="J3" s="212"/>
    </row>
    <row r="4" spans="1:11" ht="18.75" customHeight="1" x14ac:dyDescent="0.25">
      <c r="A4" s="212"/>
      <c r="B4" s="212"/>
      <c r="C4" s="212"/>
      <c r="D4" s="212"/>
      <c r="E4" s="212"/>
      <c r="F4" s="212"/>
      <c r="G4" s="212"/>
      <c r="H4" s="212"/>
      <c r="I4" s="212"/>
      <c r="J4" s="212"/>
    </row>
    <row r="5" spans="1:11" ht="18.75" customHeight="1" x14ac:dyDescent="0.25">
      <c r="A5" s="212"/>
      <c r="B5" s="212"/>
      <c r="C5" s="137"/>
      <c r="D5" s="215"/>
      <c r="E5" s="212"/>
      <c r="F5" s="212"/>
      <c r="G5" s="137"/>
      <c r="H5" s="212"/>
      <c r="I5" s="137"/>
      <c r="J5" s="212"/>
    </row>
    <row r="6" spans="1:11" ht="18.75" customHeight="1" x14ac:dyDescent="0.25">
      <c r="A6" s="212"/>
      <c r="B6" s="657" t="s">
        <v>102</v>
      </c>
      <c r="C6" s="657"/>
      <c r="D6" s="657"/>
      <c r="E6" s="657"/>
      <c r="F6" s="657"/>
      <c r="G6" s="657"/>
      <c r="H6" s="657"/>
      <c r="I6" s="137"/>
      <c r="J6" s="212"/>
    </row>
    <row r="7" spans="1:11" ht="18.75" customHeight="1" x14ac:dyDescent="0.25">
      <c r="A7" s="212"/>
      <c r="B7" s="212"/>
      <c r="C7" s="212"/>
      <c r="D7" s="212"/>
      <c r="E7" s="212"/>
      <c r="F7" s="212"/>
      <c r="G7" s="212"/>
      <c r="H7" s="212"/>
      <c r="I7" s="212"/>
      <c r="J7" s="212"/>
    </row>
    <row r="8" spans="1:11" ht="18.75" customHeight="1" x14ac:dyDescent="0.25">
      <c r="A8" s="212"/>
      <c r="B8" s="658" t="s">
        <v>124</v>
      </c>
      <c r="C8" s="658"/>
      <c r="D8" s="658"/>
      <c r="E8" s="658"/>
      <c r="F8" s="658"/>
      <c r="G8" s="658"/>
      <c r="H8" s="658"/>
      <c r="I8" s="137"/>
      <c r="J8" s="212"/>
    </row>
    <row r="9" spans="1:11" ht="18.75" customHeight="1" thickBot="1" x14ac:dyDescent="0.3">
      <c r="A9" s="212"/>
      <c r="B9" s="212"/>
      <c r="C9" s="212"/>
      <c r="D9" s="212"/>
      <c r="E9" s="212"/>
      <c r="F9" s="212"/>
      <c r="G9" s="212"/>
      <c r="H9" s="212"/>
      <c r="I9" s="212"/>
      <c r="J9" s="212"/>
    </row>
    <row r="10" spans="1:11" ht="18.75" customHeight="1" x14ac:dyDescent="0.25">
      <c r="A10" s="149"/>
      <c r="B10" s="216" t="s">
        <v>1244</v>
      </c>
      <c r="C10" s="134"/>
      <c r="D10" s="217" t="str">
        <f>IF('TRANS. COV.'!U29&lt;&gt;"",'TRANS. COV.'!U29,"")</f>
        <v>24-5678</v>
      </c>
      <c r="E10" s="218"/>
      <c r="F10" s="219" t="s">
        <v>123</v>
      </c>
      <c r="G10" s="664" t="str">
        <f>IF('TRANS. COV.'!U35&lt;&gt;"",'TRANS. COV.'!U35,"")</f>
        <v>301 Base</v>
      </c>
      <c r="H10" s="664"/>
      <c r="I10" s="212"/>
      <c r="J10" s="212"/>
    </row>
    <row r="11" spans="1:11" s="102" customFormat="1" ht="18.75" customHeight="1" x14ac:dyDescent="0.25">
      <c r="A11" s="101"/>
      <c r="B11" s="220" t="s">
        <v>363</v>
      </c>
      <c r="C11" s="101"/>
      <c r="D11" s="662"/>
      <c r="E11" s="662"/>
      <c r="F11" s="662"/>
      <c r="G11" s="662"/>
      <c r="H11" s="221"/>
      <c r="I11" s="101"/>
      <c r="J11" s="101"/>
      <c r="K11" s="102" t="s">
        <v>1239</v>
      </c>
    </row>
    <row r="12" spans="1:11" ht="18.75" customHeight="1" thickBot="1" x14ac:dyDescent="0.3">
      <c r="A12" s="149"/>
      <c r="B12" s="222"/>
      <c r="C12" s="223"/>
      <c r="D12" s="223"/>
      <c r="E12" s="223"/>
      <c r="F12" s="223"/>
      <c r="G12" s="223"/>
      <c r="H12" s="224"/>
      <c r="I12" s="212"/>
      <c r="J12" s="212"/>
    </row>
    <row r="13" spans="1:11" ht="18.75" customHeight="1" thickTop="1" x14ac:dyDescent="0.25">
      <c r="A13" s="149"/>
      <c r="B13" s="225" t="s">
        <v>62</v>
      </c>
      <c r="C13" s="226" t="s">
        <v>63</v>
      </c>
      <c r="D13" s="269" t="s">
        <v>64</v>
      </c>
      <c r="E13" s="270" t="s">
        <v>65</v>
      </c>
      <c r="F13" s="228" t="s">
        <v>89</v>
      </c>
      <c r="G13" s="271" t="s">
        <v>90</v>
      </c>
      <c r="H13" s="230" t="s">
        <v>66</v>
      </c>
      <c r="I13" s="231"/>
      <c r="J13" s="212"/>
    </row>
    <row r="14" spans="1:11" ht="18.75" customHeight="1" thickBot="1" x14ac:dyDescent="0.3">
      <c r="A14" s="149"/>
      <c r="B14" s="232" t="s">
        <v>30</v>
      </c>
      <c r="C14" s="233" t="s">
        <v>30</v>
      </c>
      <c r="D14" s="234" t="s">
        <v>67</v>
      </c>
      <c r="E14" s="235" t="s">
        <v>67</v>
      </c>
      <c r="F14" s="236" t="s">
        <v>67</v>
      </c>
      <c r="G14" s="237" t="s">
        <v>67</v>
      </c>
      <c r="H14" s="238" t="s">
        <v>68</v>
      </c>
      <c r="I14" s="112" t="s">
        <v>121</v>
      </c>
      <c r="J14" s="212"/>
    </row>
    <row r="15" spans="1:11" ht="18.75" customHeight="1" thickTop="1" x14ac:dyDescent="0.25">
      <c r="A15" s="149"/>
      <c r="B15" s="239">
        <v>50.8</v>
      </c>
      <c r="C15" s="240" t="s">
        <v>9</v>
      </c>
      <c r="D15" s="83"/>
      <c r="E15" s="84"/>
      <c r="F15" s="84"/>
      <c r="G15" s="85"/>
      <c r="H15" s="241">
        <f t="shared" ref="H15:H26" si="0">IF(COUNTIF(D15:G15,"*")=0,IFERROR(ROUND(AVERAGE(D15:G15),0),0),"Error! Check Format")</f>
        <v>0</v>
      </c>
      <c r="I15" s="242">
        <f>COUNTIF(D28,"&gt;0")+COUNTIF(E28,"&gt;0")+COUNTIF(F28,"&gt;0")+COUNTIF(G28,"&gt;0")</f>
        <v>0</v>
      </c>
      <c r="J15" s="243" t="str">
        <f>IF(I15=4,"OK","Not OK")</f>
        <v>Not OK</v>
      </c>
    </row>
    <row r="16" spans="1:11" ht="18.75" customHeight="1" x14ac:dyDescent="0.25">
      <c r="A16" s="149"/>
      <c r="B16" s="244">
        <v>38.1</v>
      </c>
      <c r="C16" s="245" t="s">
        <v>10</v>
      </c>
      <c r="D16" s="86"/>
      <c r="E16" s="70"/>
      <c r="F16" s="70"/>
      <c r="G16" s="87"/>
      <c r="H16" s="241">
        <f t="shared" si="0"/>
        <v>0</v>
      </c>
      <c r="I16" s="246"/>
      <c r="J16" s="14"/>
    </row>
    <row r="17" spans="1:10" ht="18.75" customHeight="1" x14ac:dyDescent="0.25">
      <c r="A17" s="149"/>
      <c r="B17" s="244">
        <v>25.4</v>
      </c>
      <c r="C17" s="247" t="s">
        <v>11</v>
      </c>
      <c r="D17" s="86"/>
      <c r="E17" s="70"/>
      <c r="F17" s="70"/>
      <c r="G17" s="87"/>
      <c r="H17" s="241">
        <f t="shared" si="0"/>
        <v>0</v>
      </c>
      <c r="I17" s="246"/>
      <c r="J17" s="14"/>
    </row>
    <row r="18" spans="1:10" ht="18.75" customHeight="1" x14ac:dyDescent="0.25">
      <c r="A18" s="149"/>
      <c r="B18" s="244">
        <v>19</v>
      </c>
      <c r="C18" s="247" t="s">
        <v>12</v>
      </c>
      <c r="D18" s="86"/>
      <c r="E18" s="70"/>
      <c r="F18" s="70"/>
      <c r="G18" s="87"/>
      <c r="H18" s="241">
        <f t="shared" si="0"/>
        <v>0</v>
      </c>
      <c r="I18" s="246"/>
      <c r="J18" s="14"/>
    </row>
    <row r="19" spans="1:10" ht="18.75" customHeight="1" x14ac:dyDescent="0.25">
      <c r="A19" s="149"/>
      <c r="B19" s="244">
        <v>12.5</v>
      </c>
      <c r="C19" s="247" t="s">
        <v>13</v>
      </c>
      <c r="D19" s="86"/>
      <c r="E19" s="70"/>
      <c r="F19" s="70"/>
      <c r="G19" s="87"/>
      <c r="H19" s="241">
        <f t="shared" si="0"/>
        <v>0</v>
      </c>
      <c r="I19" s="246"/>
      <c r="J19" s="14"/>
    </row>
    <row r="20" spans="1:10" ht="18.75" customHeight="1" x14ac:dyDescent="0.25">
      <c r="A20" s="149"/>
      <c r="B20" s="244">
        <v>9.5</v>
      </c>
      <c r="C20" s="247" t="s">
        <v>14</v>
      </c>
      <c r="D20" s="86"/>
      <c r="E20" s="70"/>
      <c r="F20" s="70"/>
      <c r="G20" s="87"/>
      <c r="H20" s="241">
        <f t="shared" si="0"/>
        <v>0</v>
      </c>
      <c r="I20" s="126" t="s">
        <v>120</v>
      </c>
      <c r="J20" s="14"/>
    </row>
    <row r="21" spans="1:10" ht="18.75" customHeight="1" x14ac:dyDescent="0.25">
      <c r="A21" s="149"/>
      <c r="B21" s="244">
        <v>4.75</v>
      </c>
      <c r="C21" s="247" t="s">
        <v>15</v>
      </c>
      <c r="D21" s="86"/>
      <c r="E21" s="70"/>
      <c r="F21" s="70"/>
      <c r="G21" s="87"/>
      <c r="H21" s="241">
        <f t="shared" si="0"/>
        <v>0</v>
      </c>
      <c r="I21" s="242">
        <f>ROUND(MAX(D21:G21)-MIN(D21:G21),1)</f>
        <v>0</v>
      </c>
      <c r="J21" s="243" t="str">
        <f>IF(I21&lt;=5,"OK","Not OK")</f>
        <v>OK</v>
      </c>
    </row>
    <row r="22" spans="1:10" ht="18.75" customHeight="1" x14ac:dyDescent="0.25">
      <c r="A22" s="149"/>
      <c r="B22" s="244">
        <v>2.36</v>
      </c>
      <c r="C22" s="247" t="s">
        <v>16</v>
      </c>
      <c r="D22" s="86"/>
      <c r="E22" s="70"/>
      <c r="F22" s="70"/>
      <c r="G22" s="87"/>
      <c r="H22" s="241">
        <f t="shared" si="0"/>
        <v>0</v>
      </c>
      <c r="I22" s="248"/>
      <c r="J22" s="14"/>
    </row>
    <row r="23" spans="1:10" ht="18.75" customHeight="1" x14ac:dyDescent="0.25">
      <c r="A23" s="149"/>
      <c r="B23" s="244">
        <v>1.18</v>
      </c>
      <c r="C23" s="247" t="s">
        <v>17</v>
      </c>
      <c r="D23" s="86"/>
      <c r="E23" s="70"/>
      <c r="F23" s="70"/>
      <c r="G23" s="87"/>
      <c r="H23" s="241">
        <f t="shared" si="0"/>
        <v>0</v>
      </c>
      <c r="I23" s="246"/>
      <c r="J23" s="14"/>
    </row>
    <row r="24" spans="1:10" ht="18.75" customHeight="1" x14ac:dyDescent="0.25">
      <c r="A24" s="149"/>
      <c r="B24" s="244">
        <v>0.6</v>
      </c>
      <c r="C24" s="247" t="s">
        <v>18</v>
      </c>
      <c r="D24" s="86"/>
      <c r="E24" s="70"/>
      <c r="F24" s="70"/>
      <c r="G24" s="87"/>
      <c r="H24" s="241">
        <f t="shared" si="0"/>
        <v>0</v>
      </c>
      <c r="I24" s="246"/>
      <c r="J24" s="14"/>
    </row>
    <row r="25" spans="1:10" ht="18.75" customHeight="1" x14ac:dyDescent="0.25">
      <c r="A25" s="149"/>
      <c r="B25" s="244">
        <v>0.3</v>
      </c>
      <c r="C25" s="247" t="s">
        <v>19</v>
      </c>
      <c r="D25" s="86"/>
      <c r="E25" s="70"/>
      <c r="F25" s="70"/>
      <c r="G25" s="87"/>
      <c r="H25" s="241">
        <f t="shared" si="0"/>
        <v>0</v>
      </c>
      <c r="I25" s="246"/>
      <c r="J25" s="14"/>
    </row>
    <row r="26" spans="1:10" ht="18.75" customHeight="1" x14ac:dyDescent="0.25">
      <c r="A26" s="149"/>
      <c r="B26" s="244">
        <v>0.15</v>
      </c>
      <c r="C26" s="247" t="s">
        <v>20</v>
      </c>
      <c r="D26" s="86"/>
      <c r="E26" s="70"/>
      <c r="F26" s="70"/>
      <c r="G26" s="87"/>
      <c r="H26" s="241">
        <f t="shared" si="0"/>
        <v>0</v>
      </c>
      <c r="I26" s="246"/>
      <c r="J26" s="14"/>
    </row>
    <row r="27" spans="1:10" ht="18.75" customHeight="1" x14ac:dyDescent="0.25">
      <c r="A27" s="149"/>
      <c r="B27" s="249">
        <v>7.0000000000000007E-2</v>
      </c>
      <c r="C27" s="250" t="s">
        <v>21</v>
      </c>
      <c r="D27" s="88"/>
      <c r="E27" s="89"/>
      <c r="F27" s="89"/>
      <c r="G27" s="90"/>
      <c r="H27" s="251">
        <f>IF(COUNTIF(D27:G27,"*")=0,IFERROR(ROUND(AVERAGE(D27:G27),1),0),"Error! Check Format")</f>
        <v>0</v>
      </c>
      <c r="I27" s="252" t="s">
        <v>120</v>
      </c>
      <c r="J27" s="14"/>
    </row>
    <row r="28" spans="1:10" ht="18.75" customHeight="1" thickBot="1" x14ac:dyDescent="0.3">
      <c r="A28" s="149"/>
      <c r="B28" s="253" t="s">
        <v>140</v>
      </c>
      <c r="C28" s="254"/>
      <c r="D28" s="91"/>
      <c r="E28" s="92"/>
      <c r="F28" s="92"/>
      <c r="G28" s="93"/>
      <c r="H28" s="255">
        <f>IF(COUNTIF(D28:G28,"*")=0,IFERROR(ROUND(AVERAGE(D28:G28),1),0),"Error! Check Format")</f>
        <v>0</v>
      </c>
      <c r="I28" s="256">
        <f>ROUND(MAX(D28:G28)-MIN(D28:G28),1)</f>
        <v>0</v>
      </c>
      <c r="J28" s="243" t="str">
        <f>IF(I28&lt;=0.4,"OK","Not OK")</f>
        <v>OK</v>
      </c>
    </row>
    <row r="29" spans="1:10" ht="18.75" customHeight="1" x14ac:dyDescent="0.25">
      <c r="A29" s="149"/>
      <c r="B29" s="149"/>
      <c r="C29" s="149"/>
      <c r="D29" s="149"/>
      <c r="E29" s="149"/>
      <c r="F29" s="149"/>
      <c r="G29" s="149"/>
      <c r="H29" s="149"/>
      <c r="I29" s="248"/>
      <c r="J29" s="212"/>
    </row>
    <row r="30" spans="1:10" ht="18.75" customHeight="1" thickBot="1" x14ac:dyDescent="0.3">
      <c r="A30" s="149"/>
      <c r="B30" s="212"/>
      <c r="C30" s="108" t="s">
        <v>150</v>
      </c>
      <c r="D30" s="663"/>
      <c r="E30" s="663"/>
      <c r="F30" s="212"/>
      <c r="G30" s="108" t="s">
        <v>315</v>
      </c>
      <c r="H30" s="663"/>
      <c r="I30" s="663"/>
      <c r="J30" s="212"/>
    </row>
    <row r="31" spans="1:10" ht="8" customHeight="1" thickTop="1" x14ac:dyDescent="0.25">
      <c r="A31" s="212"/>
      <c r="B31" s="212"/>
      <c r="C31" s="212"/>
      <c r="D31" s="212"/>
      <c r="E31" s="212"/>
      <c r="F31" s="149"/>
      <c r="G31" s="212"/>
      <c r="H31" s="105"/>
      <c r="I31" s="212"/>
      <c r="J31" s="212"/>
    </row>
    <row r="32" spans="1:10" ht="18.75" customHeight="1" x14ac:dyDescent="0.25">
      <c r="A32" s="212"/>
      <c r="B32" s="212"/>
      <c r="C32" s="212"/>
      <c r="D32" s="212"/>
      <c r="E32" s="212"/>
      <c r="F32" s="149"/>
      <c r="G32" s="108" t="s">
        <v>331</v>
      </c>
      <c r="H32" s="665"/>
      <c r="I32" s="666"/>
      <c r="J32" s="212"/>
    </row>
    <row r="33" spans="1:22" ht="18.75" customHeight="1" x14ac:dyDescent="0.25">
      <c r="A33" s="149"/>
      <c r="B33" s="149"/>
      <c r="C33" s="149"/>
      <c r="D33" s="149"/>
      <c r="E33" s="149"/>
      <c r="F33" s="212"/>
      <c r="G33" s="212"/>
      <c r="H33" s="212"/>
      <c r="I33" s="212"/>
      <c r="J33" s="212"/>
    </row>
    <row r="34" spans="1:22" ht="18.75" customHeight="1" x14ac:dyDescent="0.25">
      <c r="A34" s="149"/>
      <c r="B34" s="667" t="s">
        <v>132</v>
      </c>
      <c r="C34" s="667"/>
      <c r="D34" s="149"/>
      <c r="E34" s="149"/>
      <c r="F34" s="149"/>
      <c r="G34" s="149"/>
      <c r="H34" s="149"/>
      <c r="I34" s="212"/>
      <c r="J34" s="212"/>
    </row>
    <row r="35" spans="1:22" ht="18.75" customHeight="1" thickBot="1" x14ac:dyDescent="0.3">
      <c r="A35" s="149"/>
      <c r="B35" s="212"/>
      <c r="C35" s="212"/>
      <c r="D35" s="212"/>
      <c r="E35" s="212"/>
      <c r="F35" s="212"/>
      <c r="G35" s="212"/>
      <c r="H35" s="212"/>
      <c r="I35" s="212"/>
      <c r="J35" s="212"/>
    </row>
    <row r="36" spans="1:22" ht="12" customHeight="1" x14ac:dyDescent="0.25">
      <c r="A36" s="149"/>
      <c r="B36" s="259"/>
      <c r="C36" s="260"/>
      <c r="D36" s="260"/>
      <c r="E36" s="260"/>
      <c r="F36" s="260"/>
      <c r="G36" s="260"/>
      <c r="H36" s="260"/>
      <c r="I36" s="261"/>
      <c r="J36" s="212"/>
    </row>
    <row r="37" spans="1:22" ht="18.75" customHeight="1" x14ac:dyDescent="0.25">
      <c r="A37" s="149"/>
      <c r="B37" s="262"/>
      <c r="C37" s="212"/>
      <c r="D37" s="212"/>
      <c r="E37" s="212"/>
      <c r="F37" s="108" t="s">
        <v>327</v>
      </c>
      <c r="G37" s="678"/>
      <c r="H37" s="678"/>
      <c r="I37" s="263"/>
      <c r="J37" s="212"/>
    </row>
    <row r="38" spans="1:22" ht="8" customHeight="1" x14ac:dyDescent="0.25">
      <c r="A38" s="149"/>
      <c r="B38" s="262"/>
      <c r="C38" s="212"/>
      <c r="D38" s="212"/>
      <c r="E38" s="212"/>
      <c r="F38" s="212"/>
      <c r="G38" s="212"/>
      <c r="H38" s="212"/>
      <c r="I38" s="263"/>
      <c r="J38" s="212"/>
    </row>
    <row r="39" spans="1:22" ht="18.75" customHeight="1" x14ac:dyDescent="0.25">
      <c r="A39" s="149"/>
      <c r="B39" s="262"/>
      <c r="C39" s="212"/>
      <c r="D39" s="212"/>
      <c r="E39" s="212"/>
      <c r="F39" s="108" t="s">
        <v>328</v>
      </c>
      <c r="G39" s="678"/>
      <c r="H39" s="678"/>
      <c r="I39" s="263"/>
      <c r="J39" s="212"/>
    </row>
    <row r="40" spans="1:22" ht="8" customHeight="1" x14ac:dyDescent="0.25">
      <c r="A40" s="149"/>
      <c r="B40" s="262"/>
      <c r="C40" s="212"/>
      <c r="D40" s="212"/>
      <c r="E40" s="212"/>
      <c r="F40" s="212"/>
      <c r="G40" s="212"/>
      <c r="H40" s="212"/>
      <c r="I40" s="263"/>
      <c r="J40" s="212"/>
    </row>
    <row r="41" spans="1:22" ht="18.75" customHeight="1" x14ac:dyDescent="0.25">
      <c r="A41" s="149"/>
      <c r="B41" s="262"/>
      <c r="C41" s="212"/>
      <c r="D41" s="212"/>
      <c r="E41" s="212"/>
      <c r="F41" s="108" t="s">
        <v>329</v>
      </c>
      <c r="G41" s="678"/>
      <c r="H41" s="678"/>
      <c r="I41" s="263"/>
      <c r="J41" s="212"/>
    </row>
    <row r="42" spans="1:22" ht="8" customHeight="1" x14ac:dyDescent="0.25">
      <c r="A42" s="149"/>
      <c r="B42" s="262"/>
      <c r="C42" s="212"/>
      <c r="D42" s="212"/>
      <c r="E42" s="212"/>
      <c r="F42" s="212"/>
      <c r="G42" s="212"/>
      <c r="H42" s="212"/>
      <c r="I42" s="263"/>
      <c r="J42" s="212"/>
    </row>
    <row r="43" spans="1:22" ht="18.75" customHeight="1" x14ac:dyDescent="0.25">
      <c r="A43" s="149"/>
      <c r="B43" s="262"/>
      <c r="C43" s="212"/>
      <c r="D43" s="212"/>
      <c r="E43" s="212"/>
      <c r="F43" s="108" t="s">
        <v>330</v>
      </c>
      <c r="G43" s="679"/>
      <c r="H43" s="679"/>
      <c r="I43" s="263"/>
      <c r="J43" s="212"/>
    </row>
    <row r="44" spans="1:22" ht="8" customHeight="1" x14ac:dyDescent="0.25">
      <c r="A44" s="149"/>
      <c r="B44" s="262"/>
      <c r="C44" s="212"/>
      <c r="D44" s="212"/>
      <c r="E44" s="212"/>
      <c r="F44" s="212"/>
      <c r="G44" s="212"/>
      <c r="H44" s="212"/>
      <c r="I44" s="263"/>
      <c r="J44" s="212"/>
    </row>
    <row r="45" spans="1:22" ht="18.75" customHeight="1" x14ac:dyDescent="0.25">
      <c r="A45" s="212"/>
      <c r="B45" s="262"/>
      <c r="C45" s="212"/>
      <c r="D45" s="212"/>
      <c r="E45" s="212"/>
      <c r="F45" s="212"/>
      <c r="G45" s="108" t="s">
        <v>1240</v>
      </c>
      <c r="H45" s="94"/>
      <c r="I45" s="263"/>
      <c r="J45" s="212"/>
      <c r="L45" s="102"/>
      <c r="V45" s="102"/>
    </row>
    <row r="46" spans="1:22" ht="8" customHeight="1" x14ac:dyDescent="0.25">
      <c r="A46" s="212"/>
      <c r="B46" s="262"/>
      <c r="C46" s="212"/>
      <c r="D46" s="212"/>
      <c r="E46" s="212"/>
      <c r="F46" s="212"/>
      <c r="G46" s="212"/>
      <c r="H46" s="105"/>
      <c r="I46" s="263"/>
      <c r="J46" s="212"/>
    </row>
    <row r="47" spans="1:22" ht="18.75" customHeight="1" x14ac:dyDescent="0.25">
      <c r="A47" s="212"/>
      <c r="B47" s="262"/>
      <c r="C47" s="212"/>
      <c r="D47" s="212"/>
      <c r="E47" s="212"/>
      <c r="F47" s="212"/>
      <c r="G47" s="108" t="s">
        <v>2061</v>
      </c>
      <c r="H47" s="94"/>
      <c r="I47" s="263"/>
      <c r="J47" s="212"/>
      <c r="L47" s="102"/>
      <c r="V47" s="102"/>
    </row>
    <row r="48" spans="1:22" ht="8" customHeight="1" x14ac:dyDescent="0.25">
      <c r="A48" s="212"/>
      <c r="B48" s="262"/>
      <c r="C48" s="212"/>
      <c r="D48" s="212"/>
      <c r="E48" s="212"/>
      <c r="F48" s="212"/>
      <c r="G48" s="101"/>
      <c r="H48" s="105"/>
      <c r="I48" s="263"/>
      <c r="J48" s="212"/>
    </row>
    <row r="49" spans="1:22" ht="18.75" customHeight="1" x14ac:dyDescent="0.25">
      <c r="A49" s="212"/>
      <c r="B49" s="262"/>
      <c r="C49" s="212"/>
      <c r="D49" s="212"/>
      <c r="E49" s="212"/>
      <c r="F49" s="212"/>
      <c r="G49" s="108" t="s">
        <v>2062</v>
      </c>
      <c r="H49" s="94"/>
      <c r="I49" s="263"/>
      <c r="J49" s="212"/>
      <c r="L49" s="102"/>
      <c r="V49" s="102"/>
    </row>
    <row r="50" spans="1:22" ht="8" customHeight="1" x14ac:dyDescent="0.25">
      <c r="A50" s="212"/>
      <c r="B50" s="262"/>
      <c r="C50" s="212"/>
      <c r="D50" s="212"/>
      <c r="E50" s="212"/>
      <c r="F50" s="212"/>
      <c r="G50" s="212"/>
      <c r="H50" s="105"/>
      <c r="I50" s="263"/>
      <c r="J50" s="212"/>
    </row>
    <row r="51" spans="1:22" ht="18.75" customHeight="1" x14ac:dyDescent="0.25">
      <c r="A51" s="212"/>
      <c r="B51" s="262"/>
      <c r="C51" s="212"/>
      <c r="D51" s="212"/>
      <c r="E51" s="212"/>
      <c r="F51" s="212"/>
      <c r="G51" s="108" t="s">
        <v>2063</v>
      </c>
      <c r="H51" s="94"/>
      <c r="I51" s="263"/>
      <c r="J51" s="212"/>
      <c r="L51" s="102"/>
      <c r="V51" s="102"/>
    </row>
    <row r="52" spans="1:22" ht="8" customHeight="1" x14ac:dyDescent="0.25">
      <c r="A52" s="212"/>
      <c r="B52" s="262"/>
      <c r="C52" s="212"/>
      <c r="D52" s="212"/>
      <c r="E52" s="108"/>
      <c r="F52" s="212"/>
      <c r="G52" s="108"/>
      <c r="H52" s="257"/>
      <c r="I52" s="263"/>
      <c r="J52" s="212"/>
    </row>
    <row r="53" spans="1:22" ht="18.75" customHeight="1" x14ac:dyDescent="0.25">
      <c r="A53" s="212"/>
      <c r="B53" s="262"/>
      <c r="C53" s="212"/>
      <c r="D53" s="212"/>
      <c r="E53" s="212"/>
      <c r="F53" s="212"/>
      <c r="G53" s="108" t="s">
        <v>311</v>
      </c>
      <c r="H53" s="99"/>
      <c r="I53" s="263"/>
      <c r="J53" s="212"/>
    </row>
    <row r="54" spans="1:22" ht="8" customHeight="1" x14ac:dyDescent="0.25">
      <c r="A54" s="212"/>
      <c r="B54" s="262"/>
      <c r="C54" s="149"/>
      <c r="D54" s="108"/>
      <c r="E54" s="108"/>
      <c r="F54" s="108"/>
      <c r="G54" s="112"/>
      <c r="H54" s="112"/>
      <c r="I54" s="263"/>
      <c r="J54" s="212"/>
    </row>
    <row r="55" spans="1:22" ht="18.75" customHeight="1" x14ac:dyDescent="0.25">
      <c r="A55" s="212"/>
      <c r="B55" s="262"/>
      <c r="C55" s="212"/>
      <c r="D55" s="212"/>
      <c r="E55" s="212"/>
      <c r="F55" s="108" t="s">
        <v>332</v>
      </c>
      <c r="G55" s="668"/>
      <c r="H55" s="669"/>
      <c r="I55" s="263"/>
      <c r="J55" s="212"/>
    </row>
    <row r="56" spans="1:22" ht="18.75" customHeight="1" x14ac:dyDescent="0.25">
      <c r="A56" s="212"/>
      <c r="B56" s="262"/>
      <c r="C56" s="212"/>
      <c r="D56" s="212"/>
      <c r="E56" s="212"/>
      <c r="F56" s="108"/>
      <c r="G56" s="670"/>
      <c r="H56" s="671"/>
      <c r="I56" s="263"/>
      <c r="J56" s="212"/>
    </row>
    <row r="57" spans="1:22" ht="8" customHeight="1" x14ac:dyDescent="0.25">
      <c r="A57" s="212"/>
      <c r="B57" s="262"/>
      <c r="C57" s="212"/>
      <c r="D57" s="212"/>
      <c r="E57" s="212"/>
      <c r="F57" s="212"/>
      <c r="G57" s="264"/>
      <c r="H57" s="264"/>
      <c r="I57" s="263"/>
      <c r="J57" s="212"/>
    </row>
    <row r="58" spans="1:22" ht="18.75" customHeight="1" x14ac:dyDescent="0.25">
      <c r="A58" s="212"/>
      <c r="B58" s="262"/>
      <c r="C58" s="149"/>
      <c r="D58" s="212"/>
      <c r="E58" s="212"/>
      <c r="F58" s="212"/>
      <c r="G58" s="108" t="s">
        <v>333</v>
      </c>
      <c r="H58" s="89"/>
      <c r="I58" s="263"/>
      <c r="J58" s="212"/>
    </row>
    <row r="59" spans="1:22" ht="8" customHeight="1" x14ac:dyDescent="0.25">
      <c r="A59" s="212"/>
      <c r="B59" s="262"/>
      <c r="C59" s="212"/>
      <c r="D59" s="212"/>
      <c r="E59" s="212"/>
      <c r="F59" s="212"/>
      <c r="G59" s="212"/>
      <c r="H59" s="212"/>
      <c r="I59" s="263"/>
      <c r="J59" s="212"/>
    </row>
    <row r="60" spans="1:22" ht="18.75" customHeight="1" x14ac:dyDescent="0.25">
      <c r="A60" s="212"/>
      <c r="B60" s="262"/>
      <c r="C60" s="108" t="s">
        <v>326</v>
      </c>
      <c r="D60" s="672"/>
      <c r="E60" s="673"/>
      <c r="F60" s="673"/>
      <c r="G60" s="673"/>
      <c r="H60" s="674"/>
      <c r="I60" s="263"/>
      <c r="J60" s="212"/>
    </row>
    <row r="61" spans="1:22" ht="18.75" customHeight="1" x14ac:dyDescent="0.25">
      <c r="A61" s="212"/>
      <c r="B61" s="262"/>
      <c r="C61" s="108"/>
      <c r="D61" s="675"/>
      <c r="E61" s="676"/>
      <c r="F61" s="676"/>
      <c r="G61" s="676"/>
      <c r="H61" s="677"/>
      <c r="I61" s="263"/>
      <c r="J61" s="212"/>
    </row>
    <row r="62" spans="1:22" ht="12" customHeight="1" thickBot="1" x14ac:dyDescent="0.3">
      <c r="A62" s="212"/>
      <c r="B62" s="265"/>
      <c r="C62" s="266"/>
      <c r="D62" s="266"/>
      <c r="E62" s="266"/>
      <c r="F62" s="266"/>
      <c r="G62" s="266"/>
      <c r="H62" s="266"/>
      <c r="I62" s="267"/>
      <c r="J62" s="212"/>
    </row>
    <row r="63" spans="1:22" ht="18.75" customHeight="1" x14ac:dyDescent="0.25">
      <c r="A63" s="212"/>
      <c r="B63" s="212"/>
      <c r="C63" s="212"/>
      <c r="D63" s="212"/>
      <c r="E63" s="212"/>
      <c r="F63" s="212"/>
      <c r="G63" s="212"/>
      <c r="H63" s="212"/>
      <c r="I63" s="212"/>
      <c r="J63" s="212"/>
    </row>
    <row r="64" spans="1:22" ht="18.75" customHeight="1" x14ac:dyDescent="0.25">
      <c r="A64" s="212"/>
      <c r="B64" s="212"/>
      <c r="C64" s="212"/>
      <c r="D64" s="212"/>
      <c r="E64" s="212"/>
      <c r="F64" s="212"/>
      <c r="G64" s="212"/>
      <c r="H64" s="101"/>
      <c r="I64" s="212"/>
      <c r="J64" s="210" t="str">
        <f>'TRANS. COV.'!AO73</f>
        <v>Ver 0.1</v>
      </c>
    </row>
    <row r="66" spans="1:2" ht="13" x14ac:dyDescent="0.25">
      <c r="A66" s="122"/>
      <c r="B66" s="268"/>
    </row>
    <row r="67" spans="1:2" ht="13" x14ac:dyDescent="0.25">
      <c r="A67" s="122"/>
      <c r="B67" s="268"/>
    </row>
    <row r="68" spans="1:2" ht="13" x14ac:dyDescent="0.25">
      <c r="A68" s="122"/>
      <c r="B68" s="268"/>
    </row>
    <row r="69" spans="1:2" ht="13" x14ac:dyDescent="0.25">
      <c r="A69" s="122"/>
      <c r="B69" s="268"/>
    </row>
    <row r="70" spans="1:2" ht="13" x14ac:dyDescent="0.25">
      <c r="A70" s="122"/>
      <c r="B70" s="268"/>
    </row>
    <row r="71" spans="1:2" ht="13" x14ac:dyDescent="0.25">
      <c r="A71" s="122"/>
      <c r="B71" s="268"/>
    </row>
    <row r="72" spans="1:2" ht="13" x14ac:dyDescent="0.25">
      <c r="A72" s="122"/>
      <c r="B72" s="268"/>
    </row>
    <row r="73" spans="1:2" ht="13" x14ac:dyDescent="0.25">
      <c r="A73" s="122"/>
      <c r="B73" s="268"/>
    </row>
    <row r="74" spans="1:2" ht="13" x14ac:dyDescent="0.25">
      <c r="A74" s="122"/>
      <c r="B74" s="268"/>
    </row>
    <row r="75" spans="1:2" ht="13" x14ac:dyDescent="0.25">
      <c r="A75" s="122"/>
      <c r="B75" s="268"/>
    </row>
    <row r="76" spans="1:2" ht="13" x14ac:dyDescent="0.25">
      <c r="A76" s="122"/>
      <c r="B76" s="268"/>
    </row>
    <row r="77" spans="1:2" ht="13" x14ac:dyDescent="0.25">
      <c r="A77" s="122"/>
      <c r="B77" s="268"/>
    </row>
    <row r="78" spans="1:2" ht="13" x14ac:dyDescent="0.25">
      <c r="A78" s="122"/>
      <c r="B78" s="268"/>
    </row>
    <row r="79" spans="1:2" ht="13" x14ac:dyDescent="0.25">
      <c r="A79" s="122"/>
      <c r="B79" s="268"/>
    </row>
    <row r="80" spans="1:2" ht="13" x14ac:dyDescent="0.25">
      <c r="A80" s="122"/>
      <c r="B80" s="268"/>
    </row>
    <row r="81" spans="1:3" ht="13" x14ac:dyDescent="0.25">
      <c r="A81" s="122"/>
      <c r="B81" s="268"/>
    </row>
    <row r="82" spans="1:3" ht="13" x14ac:dyDescent="0.25">
      <c r="A82" s="122"/>
      <c r="B82" s="268"/>
    </row>
    <row r="83" spans="1:3" ht="13" x14ac:dyDescent="0.25">
      <c r="A83" s="122"/>
      <c r="B83" s="268"/>
    </row>
    <row r="84" spans="1:3" ht="13" x14ac:dyDescent="0.25">
      <c r="A84" s="122"/>
      <c r="B84" s="268"/>
    </row>
    <row r="85" spans="1:3" ht="13" x14ac:dyDescent="0.25">
      <c r="A85" s="122"/>
      <c r="B85" s="268"/>
    </row>
    <row r="86" spans="1:3" ht="13" x14ac:dyDescent="0.25">
      <c r="A86" s="122"/>
      <c r="B86" s="268"/>
    </row>
    <row r="87" spans="1:3" ht="13" x14ac:dyDescent="0.25">
      <c r="A87" s="122"/>
      <c r="B87" s="268"/>
    </row>
    <row r="88" spans="1:3" ht="13" x14ac:dyDescent="0.25">
      <c r="A88" s="122"/>
      <c r="B88" s="268"/>
    </row>
    <row r="89" spans="1:3" ht="13" x14ac:dyDescent="0.25">
      <c r="A89" s="122"/>
      <c r="B89" s="268"/>
    </row>
    <row r="90" spans="1:3" ht="13" x14ac:dyDescent="0.25">
      <c r="A90" s="122"/>
      <c r="B90" s="268"/>
    </row>
    <row r="91" spans="1:3" ht="13" x14ac:dyDescent="0.25">
      <c r="B91" s="268"/>
    </row>
    <row r="92" spans="1:3" ht="13" x14ac:dyDescent="0.25">
      <c r="B92" s="268"/>
    </row>
    <row r="93" spans="1:3" ht="13" x14ac:dyDescent="0.25">
      <c r="C93" s="268"/>
    </row>
    <row r="94" spans="1:3" ht="13" x14ac:dyDescent="0.25">
      <c r="C94" s="268"/>
    </row>
    <row r="95" spans="1:3" ht="13" x14ac:dyDescent="0.25">
      <c r="C95" s="268"/>
    </row>
    <row r="96" spans="1:3" ht="13" x14ac:dyDescent="0.25">
      <c r="C96" s="268"/>
    </row>
    <row r="97" spans="3:3" ht="13" x14ac:dyDescent="0.25">
      <c r="C97" s="268"/>
    </row>
    <row r="98" spans="3:3" ht="13" x14ac:dyDescent="0.25">
      <c r="C98" s="268"/>
    </row>
    <row r="99" spans="3:3" ht="13" x14ac:dyDescent="0.25">
      <c r="C99" s="268"/>
    </row>
    <row r="100" spans="3:3" ht="13" x14ac:dyDescent="0.25">
      <c r="C100" s="268"/>
    </row>
    <row r="101" spans="3:3" ht="13" x14ac:dyDescent="0.25">
      <c r="C101" s="268"/>
    </row>
    <row r="102" spans="3:3" ht="13" x14ac:dyDescent="0.25">
      <c r="C102" s="268"/>
    </row>
    <row r="103" spans="3:3" ht="13" x14ac:dyDescent="0.25">
      <c r="C103" s="268"/>
    </row>
    <row r="104" spans="3:3" ht="13" x14ac:dyDescent="0.25">
      <c r="C104" s="268"/>
    </row>
    <row r="105" spans="3:3" ht="13" x14ac:dyDescent="0.25">
      <c r="C105" s="268"/>
    </row>
    <row r="106" spans="3:3" ht="13" x14ac:dyDescent="0.25">
      <c r="C106" s="268"/>
    </row>
    <row r="107" spans="3:3" ht="13" x14ac:dyDescent="0.25">
      <c r="C107" s="268"/>
    </row>
    <row r="108" spans="3:3" ht="13" x14ac:dyDescent="0.25">
      <c r="C108" s="268"/>
    </row>
    <row r="109" spans="3:3" ht="13" x14ac:dyDescent="0.25">
      <c r="C109" s="268"/>
    </row>
    <row r="110" spans="3:3" ht="13" x14ac:dyDescent="0.25">
      <c r="C110" s="268"/>
    </row>
    <row r="111" spans="3:3" ht="13" x14ac:dyDescent="0.25">
      <c r="C111" s="268"/>
    </row>
    <row r="112" spans="3:3" ht="13" x14ac:dyDescent="0.25">
      <c r="C112" s="268"/>
    </row>
  </sheetData>
  <sheetProtection algorithmName="SHA-512" hashValue="9FxGDy9RkvFKavjUn275HbxRWrZZBuiZmPLw7Z+l8w+NefT2GQnHcddRwSY5TWGhdeurGCDizjrPyKM4zkrHmA==" saltValue="MFJyzdTX8ENf4whRNSvjwg==" spinCount="100000" sheet="1" objects="1" scenarios="1"/>
  <mergeCells count="14">
    <mergeCell ref="B6:H6"/>
    <mergeCell ref="B8:H8"/>
    <mergeCell ref="G10:H10"/>
    <mergeCell ref="D11:G11"/>
    <mergeCell ref="D60:H61"/>
    <mergeCell ref="D30:E30"/>
    <mergeCell ref="H30:I30"/>
    <mergeCell ref="G37:H37"/>
    <mergeCell ref="B34:C34"/>
    <mergeCell ref="G39:H39"/>
    <mergeCell ref="G41:H41"/>
    <mergeCell ref="H32:I32"/>
    <mergeCell ref="G43:H43"/>
    <mergeCell ref="G55:H56"/>
  </mergeCells>
  <conditionalFormatting sqref="D16:G27">
    <cfRule type="expression" dxfId="9" priority="2">
      <formula>D16&gt;D15</formula>
    </cfRule>
  </conditionalFormatting>
  <conditionalFormatting sqref="H15:H28">
    <cfRule type="cellIs" dxfId="8" priority="30" operator="equal">
      <formula>"Error! Check Format"</formula>
    </cfRule>
  </conditionalFormatting>
  <conditionalFormatting sqref="J15">
    <cfRule type="cellIs" dxfId="7" priority="29" operator="equal">
      <formula>"Not OK"</formula>
    </cfRule>
  </conditionalFormatting>
  <conditionalFormatting sqref="J21">
    <cfRule type="cellIs" dxfId="6" priority="28" operator="equal">
      <formula>"Not OK"</formula>
    </cfRule>
  </conditionalFormatting>
  <conditionalFormatting sqref="J28">
    <cfRule type="cellIs" dxfId="5" priority="27" operator="equal">
      <formula>"Not OK"</formula>
    </cfRule>
  </conditionalFormatting>
  <dataValidations count="3">
    <dataValidation type="list" allowBlank="1" showInputMessage="1" showErrorMessage="1" sqref="H30:I30" xr:uid="{00000000-0002-0000-0800-000000000000}">
      <formula1>"GR,LS,Slag,GR/LS,GR/Slag,LS/Slag,GR/LS/Slag"</formula1>
    </dataValidation>
    <dataValidation type="list" allowBlank="1" showInputMessage="1" showErrorMessage="1" sqref="D30:E32" xr:uid="{00000000-0002-0000-0800-000001000000}">
      <formula1>"Method 1,Method 2"</formula1>
    </dataValidation>
    <dataValidation type="list" allowBlank="1" showInputMessage="1" showErrorMessage="1" sqref="H53" xr:uid="{00000000-0002-0000-0800-000002000000}">
      <formula1>"Yes,No"</formula1>
    </dataValidation>
  </dataValidations>
  <printOptions horizontalCentered="1"/>
  <pageMargins left="0.5" right="0.5" top="0.5" bottom="0.5" header="0.3" footer="0.3"/>
  <pageSetup scale="6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V113"/>
  <sheetViews>
    <sheetView zoomScale="80" zoomScaleNormal="80" workbookViewId="0"/>
  </sheetViews>
  <sheetFormatPr defaultColWidth="8.90625" defaultRowHeight="12.5" x14ac:dyDescent="0.25"/>
  <cols>
    <col min="1" max="1" width="3.81640625" style="17" customWidth="1"/>
    <col min="2" max="3" width="8.81640625" style="17" customWidth="1"/>
    <col min="4" max="7" width="14.36328125" style="17" customWidth="1"/>
    <col min="8" max="8" width="16.81640625" style="17" customWidth="1"/>
    <col min="9" max="10" width="9" style="17" customWidth="1"/>
    <col min="11" max="16384" width="8.90625" style="17"/>
  </cols>
  <sheetData>
    <row r="1" spans="1:11" ht="28.5" customHeight="1" x14ac:dyDescent="0.25">
      <c r="A1" s="212"/>
      <c r="B1" s="212"/>
      <c r="C1" s="212"/>
      <c r="D1" s="212"/>
      <c r="E1" s="213"/>
      <c r="F1" s="213"/>
      <c r="G1" s="212"/>
      <c r="H1" s="212"/>
      <c r="I1" s="212"/>
      <c r="J1" s="212"/>
    </row>
    <row r="2" spans="1:11" ht="9.75" customHeight="1" x14ac:dyDescent="0.25">
      <c r="A2" s="212"/>
      <c r="B2" s="212"/>
      <c r="C2" s="212"/>
      <c r="D2" s="212"/>
      <c r="E2" s="212"/>
      <c r="F2" s="212"/>
      <c r="G2" s="212"/>
      <c r="H2" s="212"/>
      <c r="I2" s="212"/>
      <c r="J2" s="212"/>
    </row>
    <row r="3" spans="1:11" ht="18.75" customHeight="1" x14ac:dyDescent="0.25">
      <c r="A3" s="212"/>
      <c r="B3" s="212"/>
      <c r="C3" s="137"/>
      <c r="D3" s="212"/>
      <c r="E3" s="214"/>
      <c r="F3" s="214"/>
      <c r="G3" s="212"/>
      <c r="H3" s="212"/>
      <c r="I3" s="212"/>
      <c r="J3" s="212"/>
    </row>
    <row r="4" spans="1:11" ht="18.75" customHeight="1" x14ac:dyDescent="0.25">
      <c r="A4" s="212"/>
      <c r="B4" s="212"/>
      <c r="C4" s="212"/>
      <c r="D4" s="212"/>
      <c r="E4" s="212"/>
      <c r="F4" s="212"/>
      <c r="G4" s="212"/>
      <c r="H4" s="212"/>
      <c r="I4" s="212"/>
      <c r="J4" s="212"/>
    </row>
    <row r="5" spans="1:11" ht="18.75" customHeight="1" x14ac:dyDescent="0.25">
      <c r="A5" s="212"/>
      <c r="B5" s="212"/>
      <c r="C5" s="137"/>
      <c r="D5" s="215"/>
      <c r="E5" s="212"/>
      <c r="F5" s="212"/>
      <c r="G5" s="137"/>
      <c r="H5" s="212"/>
      <c r="I5" s="137"/>
      <c r="J5" s="212"/>
    </row>
    <row r="6" spans="1:11" ht="18.75" customHeight="1" x14ac:dyDescent="0.25">
      <c r="A6" s="212"/>
      <c r="B6" s="657" t="s">
        <v>102</v>
      </c>
      <c r="C6" s="657"/>
      <c r="D6" s="657"/>
      <c r="E6" s="657"/>
      <c r="F6" s="657"/>
      <c r="G6" s="657"/>
      <c r="H6" s="657"/>
      <c r="I6" s="137"/>
      <c r="J6" s="212"/>
    </row>
    <row r="7" spans="1:11" ht="18.75" customHeight="1" x14ac:dyDescent="0.25">
      <c r="A7" s="212"/>
      <c r="B7" s="212"/>
      <c r="C7" s="212"/>
      <c r="D7" s="212"/>
      <c r="E7" s="212"/>
      <c r="F7" s="212"/>
      <c r="G7" s="212"/>
      <c r="H7" s="212"/>
      <c r="I7" s="212"/>
      <c r="J7" s="212"/>
    </row>
    <row r="8" spans="1:11" ht="18.75" customHeight="1" x14ac:dyDescent="0.25">
      <c r="A8" s="212"/>
      <c r="B8" s="658" t="s">
        <v>125</v>
      </c>
      <c r="C8" s="658"/>
      <c r="D8" s="658"/>
      <c r="E8" s="658"/>
      <c r="F8" s="658"/>
      <c r="G8" s="658"/>
      <c r="H8" s="658"/>
      <c r="I8" s="137"/>
      <c r="J8" s="212"/>
    </row>
    <row r="9" spans="1:11" ht="18.75" customHeight="1" thickBot="1" x14ac:dyDescent="0.3">
      <c r="A9" s="212"/>
      <c r="B9" s="212"/>
      <c r="C9" s="212"/>
      <c r="D9" s="212"/>
      <c r="E9" s="212"/>
      <c r="F9" s="212"/>
      <c r="G9" s="212"/>
      <c r="H9" s="212"/>
      <c r="I9" s="212"/>
      <c r="J9" s="212"/>
    </row>
    <row r="10" spans="1:11" ht="18.75" customHeight="1" x14ac:dyDescent="0.25">
      <c r="A10" s="149"/>
      <c r="B10" s="216" t="s">
        <v>1244</v>
      </c>
      <c r="C10" s="134"/>
      <c r="D10" s="217" t="str">
        <f>IF('TRANS. COV.'!U29&lt;&gt;"",'TRANS. COV.'!U29,"")</f>
        <v>24-5678</v>
      </c>
      <c r="E10" s="218"/>
      <c r="F10" s="219" t="s">
        <v>123</v>
      </c>
      <c r="G10" s="664" t="str">
        <f>IF('TRANS. COV.'!U35&lt;&gt;"",'TRANS. COV.'!U35,"")</f>
        <v>301 Base</v>
      </c>
      <c r="H10" s="664"/>
      <c r="I10" s="212"/>
      <c r="J10" s="212"/>
    </row>
    <row r="11" spans="1:11" s="102" customFormat="1" ht="18.75" customHeight="1" x14ac:dyDescent="0.25">
      <c r="A11" s="101"/>
      <c r="B11" s="220" t="s">
        <v>363</v>
      </c>
      <c r="C11" s="101"/>
      <c r="D11" s="662"/>
      <c r="E11" s="662"/>
      <c r="F11" s="662"/>
      <c r="G11" s="662"/>
      <c r="H11" s="221"/>
      <c r="I11" s="101"/>
      <c r="J11" s="101"/>
      <c r="K11" s="102" t="s">
        <v>1239</v>
      </c>
    </row>
    <row r="12" spans="1:11" ht="18.75" customHeight="1" thickBot="1" x14ac:dyDescent="0.3">
      <c r="A12" s="149"/>
      <c r="B12" s="222"/>
      <c r="C12" s="223"/>
      <c r="D12" s="223"/>
      <c r="E12" s="223"/>
      <c r="F12" s="223"/>
      <c r="G12" s="223"/>
      <c r="H12" s="224"/>
      <c r="I12" s="212"/>
      <c r="J12" s="212"/>
    </row>
    <row r="13" spans="1:11" ht="18.75" customHeight="1" thickTop="1" x14ac:dyDescent="0.25">
      <c r="A13" s="149"/>
      <c r="B13" s="225" t="s">
        <v>62</v>
      </c>
      <c r="C13" s="226" t="s">
        <v>63</v>
      </c>
      <c r="D13" s="269" t="s">
        <v>64</v>
      </c>
      <c r="E13" s="270" t="s">
        <v>65</v>
      </c>
      <c r="F13" s="228" t="s">
        <v>89</v>
      </c>
      <c r="G13" s="271" t="s">
        <v>90</v>
      </c>
      <c r="H13" s="230" t="s">
        <v>66</v>
      </c>
      <c r="I13" s="231"/>
      <c r="J13" s="212"/>
    </row>
    <row r="14" spans="1:11" ht="18.75" customHeight="1" thickBot="1" x14ac:dyDescent="0.3">
      <c r="A14" s="149"/>
      <c r="B14" s="232" t="s">
        <v>30</v>
      </c>
      <c r="C14" s="233" t="s">
        <v>30</v>
      </c>
      <c r="D14" s="234" t="s">
        <v>67</v>
      </c>
      <c r="E14" s="235" t="s">
        <v>67</v>
      </c>
      <c r="F14" s="236" t="s">
        <v>67</v>
      </c>
      <c r="G14" s="237" t="s">
        <v>67</v>
      </c>
      <c r="H14" s="238" t="s">
        <v>68</v>
      </c>
      <c r="I14" s="112" t="s">
        <v>121</v>
      </c>
      <c r="J14" s="212"/>
    </row>
    <row r="15" spans="1:11" ht="18.75" customHeight="1" thickTop="1" x14ac:dyDescent="0.25">
      <c r="A15" s="149"/>
      <c r="B15" s="239">
        <v>50.8</v>
      </c>
      <c r="C15" s="240" t="s">
        <v>9</v>
      </c>
      <c r="D15" s="83"/>
      <c r="E15" s="84"/>
      <c r="F15" s="84"/>
      <c r="G15" s="85"/>
      <c r="H15" s="241">
        <f t="shared" ref="H15:H26" si="0">IF(COUNTIF(D15:G15,"*")=0,IFERROR(ROUND(AVERAGE(D15:G15),0),0),"Error! Check Format")</f>
        <v>0</v>
      </c>
      <c r="I15" s="242">
        <f>COUNTIF(D28,"&gt;0")+COUNTIF(E28,"&gt;0")+COUNTIF(F28,"&gt;0")+COUNTIF(G28,"&gt;0")</f>
        <v>0</v>
      </c>
      <c r="J15" s="243" t="str">
        <f>IF(I15=4,"OK","Not OK")</f>
        <v>Not OK</v>
      </c>
    </row>
    <row r="16" spans="1:11" ht="18.75" customHeight="1" x14ac:dyDescent="0.25">
      <c r="A16" s="149"/>
      <c r="B16" s="244">
        <v>38.1</v>
      </c>
      <c r="C16" s="245" t="s">
        <v>10</v>
      </c>
      <c r="D16" s="86"/>
      <c r="E16" s="70"/>
      <c r="F16" s="70"/>
      <c r="G16" s="87"/>
      <c r="H16" s="241">
        <f t="shared" si="0"/>
        <v>0</v>
      </c>
      <c r="I16" s="246"/>
      <c r="J16" s="14"/>
    </row>
    <row r="17" spans="1:10" ht="18.75" customHeight="1" x14ac:dyDescent="0.25">
      <c r="A17" s="149"/>
      <c r="B17" s="244">
        <v>25.4</v>
      </c>
      <c r="C17" s="247" t="s">
        <v>11</v>
      </c>
      <c r="D17" s="86"/>
      <c r="E17" s="70"/>
      <c r="F17" s="70"/>
      <c r="G17" s="87"/>
      <c r="H17" s="241">
        <f t="shared" si="0"/>
        <v>0</v>
      </c>
      <c r="I17" s="246"/>
      <c r="J17" s="14"/>
    </row>
    <row r="18" spans="1:10" ht="18.75" customHeight="1" x14ac:dyDescent="0.25">
      <c r="A18" s="149"/>
      <c r="B18" s="244">
        <v>19</v>
      </c>
      <c r="C18" s="247" t="s">
        <v>12</v>
      </c>
      <c r="D18" s="86"/>
      <c r="E18" s="70"/>
      <c r="F18" s="70"/>
      <c r="G18" s="87"/>
      <c r="H18" s="241">
        <f t="shared" si="0"/>
        <v>0</v>
      </c>
      <c r="I18" s="246"/>
      <c r="J18" s="14"/>
    </row>
    <row r="19" spans="1:10" ht="18.75" customHeight="1" x14ac:dyDescent="0.25">
      <c r="A19" s="149"/>
      <c r="B19" s="244">
        <v>12.5</v>
      </c>
      <c r="C19" s="247" t="s">
        <v>13</v>
      </c>
      <c r="D19" s="86"/>
      <c r="E19" s="70"/>
      <c r="F19" s="70"/>
      <c r="G19" s="87"/>
      <c r="H19" s="241">
        <f t="shared" si="0"/>
        <v>0</v>
      </c>
      <c r="I19" s="246"/>
      <c r="J19" s="14"/>
    </row>
    <row r="20" spans="1:10" ht="18.75" customHeight="1" x14ac:dyDescent="0.25">
      <c r="A20" s="149"/>
      <c r="B20" s="244">
        <v>9.5</v>
      </c>
      <c r="C20" s="247" t="s">
        <v>14</v>
      </c>
      <c r="D20" s="86"/>
      <c r="E20" s="70"/>
      <c r="F20" s="70"/>
      <c r="G20" s="87"/>
      <c r="H20" s="241">
        <f t="shared" si="0"/>
        <v>0</v>
      </c>
      <c r="I20" s="126" t="s">
        <v>120</v>
      </c>
      <c r="J20" s="14"/>
    </row>
    <row r="21" spans="1:10" ht="18.75" customHeight="1" x14ac:dyDescent="0.25">
      <c r="A21" s="149"/>
      <c r="B21" s="244">
        <v>4.75</v>
      </c>
      <c r="C21" s="247" t="s">
        <v>15</v>
      </c>
      <c r="D21" s="86"/>
      <c r="E21" s="70"/>
      <c r="F21" s="70"/>
      <c r="G21" s="87"/>
      <c r="H21" s="241">
        <f t="shared" si="0"/>
        <v>0</v>
      </c>
      <c r="I21" s="242">
        <f>ROUND(MAX(D21:G21)-MIN(D21:G21),1)</f>
        <v>0</v>
      </c>
      <c r="J21" s="243" t="str">
        <f>IF(I21&lt;=5,"OK","Not OK")</f>
        <v>OK</v>
      </c>
    </row>
    <row r="22" spans="1:10" ht="18.75" customHeight="1" x14ac:dyDescent="0.25">
      <c r="A22" s="149"/>
      <c r="B22" s="244">
        <v>2.36</v>
      </c>
      <c r="C22" s="247" t="s">
        <v>16</v>
      </c>
      <c r="D22" s="86"/>
      <c r="E22" s="70"/>
      <c r="F22" s="70"/>
      <c r="G22" s="87"/>
      <c r="H22" s="241">
        <f t="shared" si="0"/>
        <v>0</v>
      </c>
      <c r="I22" s="248"/>
      <c r="J22" s="14"/>
    </row>
    <row r="23" spans="1:10" ht="18.75" customHeight="1" x14ac:dyDescent="0.25">
      <c r="A23" s="149"/>
      <c r="B23" s="244">
        <v>1.18</v>
      </c>
      <c r="C23" s="247" t="s">
        <v>17</v>
      </c>
      <c r="D23" s="86"/>
      <c r="E23" s="70"/>
      <c r="F23" s="70"/>
      <c r="G23" s="87"/>
      <c r="H23" s="241">
        <f t="shared" si="0"/>
        <v>0</v>
      </c>
      <c r="I23" s="246"/>
      <c r="J23" s="14"/>
    </row>
    <row r="24" spans="1:10" ht="18.75" customHeight="1" x14ac:dyDescent="0.25">
      <c r="A24" s="149"/>
      <c r="B24" s="244">
        <v>0.6</v>
      </c>
      <c r="C24" s="247" t="s">
        <v>18</v>
      </c>
      <c r="D24" s="86"/>
      <c r="E24" s="70"/>
      <c r="F24" s="70"/>
      <c r="G24" s="87"/>
      <c r="H24" s="241">
        <f t="shared" si="0"/>
        <v>0</v>
      </c>
      <c r="I24" s="246"/>
      <c r="J24" s="14"/>
    </row>
    <row r="25" spans="1:10" ht="18.75" customHeight="1" x14ac:dyDescent="0.25">
      <c r="A25" s="149"/>
      <c r="B25" s="244">
        <v>0.3</v>
      </c>
      <c r="C25" s="247" t="s">
        <v>19</v>
      </c>
      <c r="D25" s="86"/>
      <c r="E25" s="70"/>
      <c r="F25" s="70"/>
      <c r="G25" s="87"/>
      <c r="H25" s="241">
        <f t="shared" si="0"/>
        <v>0</v>
      </c>
      <c r="I25" s="246"/>
      <c r="J25" s="14"/>
    </row>
    <row r="26" spans="1:10" ht="18.75" customHeight="1" x14ac:dyDescent="0.25">
      <c r="A26" s="149"/>
      <c r="B26" s="244">
        <v>0.15</v>
      </c>
      <c r="C26" s="247" t="s">
        <v>20</v>
      </c>
      <c r="D26" s="86"/>
      <c r="E26" s="70"/>
      <c r="F26" s="70"/>
      <c r="G26" s="87"/>
      <c r="H26" s="241">
        <f t="shared" si="0"/>
        <v>0</v>
      </c>
      <c r="I26" s="246"/>
      <c r="J26" s="14"/>
    </row>
    <row r="27" spans="1:10" ht="18.75" customHeight="1" x14ac:dyDescent="0.25">
      <c r="A27" s="149"/>
      <c r="B27" s="249">
        <v>7.0000000000000007E-2</v>
      </c>
      <c r="C27" s="250" t="s">
        <v>21</v>
      </c>
      <c r="D27" s="88"/>
      <c r="E27" s="89"/>
      <c r="F27" s="89"/>
      <c r="G27" s="90"/>
      <c r="H27" s="251">
        <f>IF(COUNTIF(D27:G27,"*")=0,IFERROR(ROUND(AVERAGE(D27:G27),1),0),"Error! Check Format")</f>
        <v>0</v>
      </c>
      <c r="I27" s="252" t="s">
        <v>120</v>
      </c>
      <c r="J27" s="14"/>
    </row>
    <row r="28" spans="1:10" ht="18.75" customHeight="1" thickBot="1" x14ac:dyDescent="0.3">
      <c r="A28" s="149"/>
      <c r="B28" s="253" t="s">
        <v>140</v>
      </c>
      <c r="C28" s="254"/>
      <c r="D28" s="91"/>
      <c r="E28" s="92"/>
      <c r="F28" s="92"/>
      <c r="G28" s="93"/>
      <c r="H28" s="255">
        <f>IF(COUNTIF(D28:G28,"*")=0,IFERROR(ROUND(AVERAGE(D28:G28),1),0),"Error! Check Format")</f>
        <v>0</v>
      </c>
      <c r="I28" s="256">
        <f>ROUND(MAX(D28:G28)-MIN(D28:G28),1)</f>
        <v>0</v>
      </c>
      <c r="J28" s="243" t="str">
        <f>IF(I28&lt;=0.4,"OK","Not OK")</f>
        <v>OK</v>
      </c>
    </row>
    <row r="29" spans="1:10" ht="18.75" customHeight="1" x14ac:dyDescent="0.25">
      <c r="A29" s="149"/>
      <c r="B29" s="149"/>
      <c r="C29" s="149"/>
      <c r="D29" s="149"/>
      <c r="E29" s="149"/>
      <c r="F29" s="149"/>
      <c r="G29" s="149"/>
      <c r="H29" s="149"/>
      <c r="I29" s="248"/>
      <c r="J29" s="212"/>
    </row>
    <row r="30" spans="1:10" ht="18.75" customHeight="1" thickBot="1" x14ac:dyDescent="0.3">
      <c r="A30" s="149"/>
      <c r="B30" s="212"/>
      <c r="C30" s="108" t="s">
        <v>150</v>
      </c>
      <c r="D30" s="663"/>
      <c r="E30" s="663"/>
      <c r="F30" s="212"/>
      <c r="G30" s="108" t="s">
        <v>315</v>
      </c>
      <c r="H30" s="663"/>
      <c r="I30" s="663"/>
      <c r="J30" s="212"/>
    </row>
    <row r="31" spans="1:10" ht="8" customHeight="1" thickTop="1" x14ac:dyDescent="0.25">
      <c r="A31" s="212"/>
      <c r="B31" s="212"/>
      <c r="C31" s="212"/>
      <c r="D31" s="212"/>
      <c r="E31" s="212"/>
      <c r="F31" s="149"/>
      <c r="G31" s="212"/>
      <c r="H31" s="105"/>
      <c r="I31" s="212"/>
      <c r="J31" s="212"/>
    </row>
    <row r="32" spans="1:10" ht="18.75" customHeight="1" x14ac:dyDescent="0.25">
      <c r="A32" s="212"/>
      <c r="B32" s="212"/>
      <c r="C32" s="212"/>
      <c r="D32" s="212"/>
      <c r="E32" s="212"/>
      <c r="F32" s="149"/>
      <c r="G32" s="108" t="s">
        <v>331</v>
      </c>
      <c r="H32" s="665"/>
      <c r="I32" s="666"/>
      <c r="J32" s="212"/>
    </row>
    <row r="33" spans="1:22" ht="18.75" customHeight="1" x14ac:dyDescent="0.25">
      <c r="A33" s="149"/>
      <c r="B33" s="149"/>
      <c r="C33" s="149"/>
      <c r="D33" s="149"/>
      <c r="E33" s="149"/>
      <c r="F33" s="212"/>
      <c r="G33" s="212"/>
      <c r="H33" s="212"/>
      <c r="I33" s="212"/>
      <c r="J33" s="212"/>
    </row>
    <row r="34" spans="1:22" ht="18.75" customHeight="1" x14ac:dyDescent="0.25">
      <c r="A34" s="149"/>
      <c r="B34" s="667" t="s">
        <v>134</v>
      </c>
      <c r="C34" s="667"/>
      <c r="D34" s="149"/>
      <c r="E34" s="149"/>
      <c r="F34" s="149"/>
      <c r="G34" s="149"/>
      <c r="H34" s="149"/>
      <c r="I34" s="212"/>
      <c r="J34" s="212"/>
    </row>
    <row r="35" spans="1:22" ht="18.75" customHeight="1" thickBot="1" x14ac:dyDescent="0.3">
      <c r="A35" s="149"/>
      <c r="B35" s="212"/>
      <c r="C35" s="212"/>
      <c r="D35" s="212"/>
      <c r="E35" s="212"/>
      <c r="F35" s="212"/>
      <c r="G35" s="212"/>
      <c r="H35" s="212"/>
      <c r="I35" s="212"/>
      <c r="J35" s="212"/>
    </row>
    <row r="36" spans="1:22" ht="12" customHeight="1" x14ac:dyDescent="0.25">
      <c r="A36" s="149"/>
      <c r="B36" s="259"/>
      <c r="C36" s="260"/>
      <c r="D36" s="260"/>
      <c r="E36" s="260"/>
      <c r="F36" s="260"/>
      <c r="G36" s="260"/>
      <c r="H36" s="260"/>
      <c r="I36" s="261"/>
      <c r="J36" s="212"/>
    </row>
    <row r="37" spans="1:22" ht="18.75" customHeight="1" x14ac:dyDescent="0.25">
      <c r="A37" s="149"/>
      <c r="B37" s="262"/>
      <c r="C37" s="212"/>
      <c r="D37" s="212"/>
      <c r="E37" s="212"/>
      <c r="F37" s="108" t="s">
        <v>327</v>
      </c>
      <c r="G37" s="678"/>
      <c r="H37" s="678"/>
      <c r="I37" s="263"/>
      <c r="J37" s="212"/>
    </row>
    <row r="38" spans="1:22" ht="8" customHeight="1" x14ac:dyDescent="0.25">
      <c r="A38" s="149"/>
      <c r="B38" s="262"/>
      <c r="C38" s="212"/>
      <c r="D38" s="212"/>
      <c r="E38" s="212"/>
      <c r="F38" s="212"/>
      <c r="G38" s="212"/>
      <c r="H38" s="212"/>
      <c r="I38" s="263"/>
      <c r="J38" s="212"/>
    </row>
    <row r="39" spans="1:22" ht="18.75" customHeight="1" x14ac:dyDescent="0.25">
      <c r="A39" s="149"/>
      <c r="B39" s="262"/>
      <c r="C39" s="212"/>
      <c r="D39" s="212"/>
      <c r="E39" s="212"/>
      <c r="F39" s="108" t="s">
        <v>328</v>
      </c>
      <c r="G39" s="678"/>
      <c r="H39" s="678"/>
      <c r="I39" s="263"/>
      <c r="J39" s="212"/>
    </row>
    <row r="40" spans="1:22" ht="8" customHeight="1" x14ac:dyDescent="0.25">
      <c r="A40" s="149"/>
      <c r="B40" s="262"/>
      <c r="C40" s="212"/>
      <c r="D40" s="212"/>
      <c r="E40" s="212"/>
      <c r="F40" s="212"/>
      <c r="G40" s="212"/>
      <c r="H40" s="212"/>
      <c r="I40" s="263"/>
      <c r="J40" s="212"/>
    </row>
    <row r="41" spans="1:22" ht="18.75" customHeight="1" x14ac:dyDescent="0.25">
      <c r="A41" s="149"/>
      <c r="B41" s="262"/>
      <c r="C41" s="212"/>
      <c r="D41" s="212"/>
      <c r="E41" s="212"/>
      <c r="F41" s="108" t="s">
        <v>329</v>
      </c>
      <c r="G41" s="678"/>
      <c r="H41" s="678"/>
      <c r="I41" s="263"/>
      <c r="J41" s="212"/>
    </row>
    <row r="42" spans="1:22" ht="8" customHeight="1" x14ac:dyDescent="0.25">
      <c r="A42" s="149"/>
      <c r="B42" s="262"/>
      <c r="C42" s="212"/>
      <c r="D42" s="212"/>
      <c r="E42" s="212"/>
      <c r="F42" s="212"/>
      <c r="G42" s="212"/>
      <c r="H42" s="212"/>
      <c r="I42" s="263"/>
      <c r="J42" s="212"/>
    </row>
    <row r="43" spans="1:22" ht="18.75" customHeight="1" x14ac:dyDescent="0.25">
      <c r="A43" s="149"/>
      <c r="B43" s="262"/>
      <c r="C43" s="212"/>
      <c r="D43" s="212"/>
      <c r="E43" s="212"/>
      <c r="F43" s="108" t="s">
        <v>330</v>
      </c>
      <c r="G43" s="679"/>
      <c r="H43" s="679"/>
      <c r="I43" s="263"/>
      <c r="J43" s="212"/>
    </row>
    <row r="44" spans="1:22" ht="8" customHeight="1" x14ac:dyDescent="0.25">
      <c r="A44" s="149"/>
      <c r="B44" s="262"/>
      <c r="C44" s="212"/>
      <c r="D44" s="212"/>
      <c r="E44" s="212"/>
      <c r="F44" s="212"/>
      <c r="G44" s="212"/>
      <c r="H44" s="212"/>
      <c r="I44" s="263"/>
      <c r="J44" s="212"/>
    </row>
    <row r="45" spans="1:22" ht="18.75" customHeight="1" x14ac:dyDescent="0.25">
      <c r="A45" s="212"/>
      <c r="B45" s="262"/>
      <c r="C45" s="212"/>
      <c r="D45" s="212"/>
      <c r="E45" s="212"/>
      <c r="F45" s="212"/>
      <c r="G45" s="108" t="s">
        <v>1240</v>
      </c>
      <c r="H45" s="94"/>
      <c r="I45" s="263"/>
      <c r="J45" s="212"/>
      <c r="L45" s="102"/>
      <c r="V45" s="102"/>
    </row>
    <row r="46" spans="1:22" ht="8" customHeight="1" x14ac:dyDescent="0.25">
      <c r="A46" s="212"/>
      <c r="B46" s="262"/>
      <c r="C46" s="212"/>
      <c r="D46" s="212"/>
      <c r="E46" s="212"/>
      <c r="F46" s="212"/>
      <c r="G46" s="212"/>
      <c r="H46" s="105"/>
      <c r="I46" s="263"/>
      <c r="J46" s="212"/>
    </row>
    <row r="47" spans="1:22" ht="18.75" customHeight="1" x14ac:dyDescent="0.25">
      <c r="A47" s="212"/>
      <c r="B47" s="262"/>
      <c r="C47" s="212"/>
      <c r="D47" s="212"/>
      <c r="E47" s="212"/>
      <c r="F47" s="212"/>
      <c r="G47" s="108" t="s">
        <v>2061</v>
      </c>
      <c r="H47" s="94"/>
      <c r="I47" s="263"/>
      <c r="J47" s="212"/>
      <c r="L47" s="102"/>
      <c r="V47" s="102"/>
    </row>
    <row r="48" spans="1:22" ht="8" customHeight="1" x14ac:dyDescent="0.25">
      <c r="A48" s="212"/>
      <c r="B48" s="262"/>
      <c r="C48" s="212"/>
      <c r="D48" s="212"/>
      <c r="E48" s="212"/>
      <c r="F48" s="212"/>
      <c r="G48" s="101"/>
      <c r="H48" s="105"/>
      <c r="I48" s="263"/>
      <c r="J48" s="212"/>
    </row>
    <row r="49" spans="1:22" ht="18.75" customHeight="1" x14ac:dyDescent="0.25">
      <c r="A49" s="212"/>
      <c r="B49" s="262"/>
      <c r="C49" s="212"/>
      <c r="D49" s="212"/>
      <c r="E49" s="212"/>
      <c r="F49" s="212"/>
      <c r="G49" s="108" t="s">
        <v>2062</v>
      </c>
      <c r="H49" s="94"/>
      <c r="I49" s="263"/>
      <c r="J49" s="212"/>
      <c r="L49" s="102"/>
      <c r="V49" s="102"/>
    </row>
    <row r="50" spans="1:22" ht="8" customHeight="1" x14ac:dyDescent="0.25">
      <c r="A50" s="212"/>
      <c r="B50" s="262"/>
      <c r="C50" s="212"/>
      <c r="D50" s="212"/>
      <c r="E50" s="212"/>
      <c r="F50" s="212"/>
      <c r="G50" s="212"/>
      <c r="H50" s="105"/>
      <c r="I50" s="263"/>
      <c r="J50" s="212"/>
    </row>
    <row r="51" spans="1:22" ht="18.75" customHeight="1" x14ac:dyDescent="0.25">
      <c r="A51" s="212"/>
      <c r="B51" s="262"/>
      <c r="C51" s="212"/>
      <c r="D51" s="212"/>
      <c r="E51" s="212"/>
      <c r="F51" s="212"/>
      <c r="G51" s="108" t="s">
        <v>2063</v>
      </c>
      <c r="H51" s="94"/>
      <c r="I51" s="263"/>
      <c r="J51" s="212"/>
      <c r="L51" s="102"/>
      <c r="V51" s="102"/>
    </row>
    <row r="52" spans="1:22" ht="8" customHeight="1" x14ac:dyDescent="0.25">
      <c r="A52" s="212"/>
      <c r="B52" s="262"/>
      <c r="C52" s="212"/>
      <c r="D52" s="212"/>
      <c r="E52" s="108"/>
      <c r="F52" s="212"/>
      <c r="G52" s="108"/>
      <c r="H52" s="257"/>
      <c r="I52" s="263"/>
      <c r="J52" s="212"/>
    </row>
    <row r="53" spans="1:22" ht="18.75" customHeight="1" x14ac:dyDescent="0.25">
      <c r="A53" s="212"/>
      <c r="B53" s="262"/>
      <c r="C53" s="212"/>
      <c r="D53" s="212"/>
      <c r="E53" s="212"/>
      <c r="F53" s="212"/>
      <c r="G53" s="108" t="s">
        <v>311</v>
      </c>
      <c r="H53" s="99"/>
      <c r="I53" s="263"/>
      <c r="J53" s="212"/>
    </row>
    <row r="54" spans="1:22" ht="8" customHeight="1" x14ac:dyDescent="0.25">
      <c r="A54" s="212"/>
      <c r="B54" s="262"/>
      <c r="C54" s="149"/>
      <c r="D54" s="108"/>
      <c r="E54" s="108"/>
      <c r="F54" s="108"/>
      <c r="G54" s="112"/>
      <c r="H54" s="112"/>
      <c r="I54" s="263"/>
      <c r="J54" s="212"/>
    </row>
    <row r="55" spans="1:22" ht="18.75" customHeight="1" x14ac:dyDescent="0.25">
      <c r="A55" s="212"/>
      <c r="B55" s="262"/>
      <c r="C55" s="212"/>
      <c r="D55" s="212"/>
      <c r="E55" s="212"/>
      <c r="F55" s="108" t="s">
        <v>332</v>
      </c>
      <c r="G55" s="668"/>
      <c r="H55" s="669"/>
      <c r="I55" s="263"/>
      <c r="J55" s="212"/>
    </row>
    <row r="56" spans="1:22" ht="18.75" customHeight="1" x14ac:dyDescent="0.25">
      <c r="A56" s="212"/>
      <c r="B56" s="262"/>
      <c r="C56" s="212"/>
      <c r="D56" s="212"/>
      <c r="E56" s="212"/>
      <c r="F56" s="108"/>
      <c r="G56" s="670"/>
      <c r="H56" s="671"/>
      <c r="I56" s="263"/>
      <c r="J56" s="212"/>
    </row>
    <row r="57" spans="1:22" ht="8" customHeight="1" x14ac:dyDescent="0.25">
      <c r="A57" s="212"/>
      <c r="B57" s="262"/>
      <c r="C57" s="212"/>
      <c r="D57" s="212"/>
      <c r="E57" s="212"/>
      <c r="F57" s="212"/>
      <c r="G57" s="264"/>
      <c r="H57" s="264"/>
      <c r="I57" s="263"/>
      <c r="J57" s="212"/>
    </row>
    <row r="58" spans="1:22" ht="18.75" customHeight="1" x14ac:dyDescent="0.25">
      <c r="A58" s="212"/>
      <c r="B58" s="262"/>
      <c r="C58" s="149"/>
      <c r="D58" s="212"/>
      <c r="E58" s="212"/>
      <c r="F58" s="212"/>
      <c r="G58" s="108" t="s">
        <v>333</v>
      </c>
      <c r="H58" s="89"/>
      <c r="I58" s="263"/>
      <c r="J58" s="212"/>
    </row>
    <row r="59" spans="1:22" ht="8" customHeight="1" x14ac:dyDescent="0.25">
      <c r="A59" s="212"/>
      <c r="B59" s="262"/>
      <c r="C59" s="212"/>
      <c r="D59" s="212"/>
      <c r="E59" s="212"/>
      <c r="F59" s="212"/>
      <c r="G59" s="212"/>
      <c r="H59" s="212"/>
      <c r="I59" s="263"/>
      <c r="J59" s="212"/>
    </row>
    <row r="60" spans="1:22" ht="18.75" customHeight="1" x14ac:dyDescent="0.25">
      <c r="A60" s="212"/>
      <c r="B60" s="262"/>
      <c r="C60" s="108" t="s">
        <v>326</v>
      </c>
      <c r="D60" s="672"/>
      <c r="E60" s="673"/>
      <c r="F60" s="673"/>
      <c r="G60" s="673"/>
      <c r="H60" s="674"/>
      <c r="I60" s="263"/>
      <c r="J60" s="212"/>
    </row>
    <row r="61" spans="1:22" ht="18.75" customHeight="1" x14ac:dyDescent="0.25">
      <c r="A61" s="212"/>
      <c r="B61" s="262"/>
      <c r="C61" s="108"/>
      <c r="D61" s="675"/>
      <c r="E61" s="676"/>
      <c r="F61" s="676"/>
      <c r="G61" s="676"/>
      <c r="H61" s="677"/>
      <c r="I61" s="263"/>
      <c r="J61" s="212"/>
    </row>
    <row r="62" spans="1:22" ht="12" customHeight="1" thickBot="1" x14ac:dyDescent="0.3">
      <c r="A62" s="212"/>
      <c r="B62" s="265"/>
      <c r="C62" s="266"/>
      <c r="D62" s="266"/>
      <c r="E62" s="266"/>
      <c r="F62" s="266"/>
      <c r="G62" s="266"/>
      <c r="H62" s="266"/>
      <c r="I62" s="267"/>
      <c r="J62" s="212"/>
    </row>
    <row r="63" spans="1:22" ht="18.75" customHeight="1" x14ac:dyDescent="0.25">
      <c r="A63" s="212"/>
      <c r="B63" s="212"/>
      <c r="C63" s="212"/>
      <c r="D63" s="212"/>
      <c r="E63" s="212"/>
      <c r="F63" s="212"/>
      <c r="G63" s="212"/>
      <c r="H63" s="212"/>
      <c r="I63" s="212"/>
      <c r="J63" s="212"/>
    </row>
    <row r="64" spans="1:22" ht="18.75" customHeight="1" x14ac:dyDescent="0.25">
      <c r="A64" s="212"/>
      <c r="B64" s="212"/>
      <c r="C64" s="212"/>
      <c r="D64" s="212"/>
      <c r="E64" s="212"/>
      <c r="F64" s="212"/>
      <c r="G64" s="212"/>
      <c r="H64" s="101"/>
      <c r="I64" s="212"/>
      <c r="J64" s="210" t="str">
        <f>'TRANS. COV.'!AO73</f>
        <v>Ver 0.1</v>
      </c>
    </row>
    <row r="66" spans="1:2" ht="13" x14ac:dyDescent="0.25">
      <c r="A66" s="122"/>
      <c r="B66" s="268"/>
    </row>
    <row r="67" spans="1:2" ht="13" x14ac:dyDescent="0.25">
      <c r="A67" s="122"/>
      <c r="B67" s="268"/>
    </row>
    <row r="68" spans="1:2" ht="13" x14ac:dyDescent="0.25">
      <c r="A68" s="122"/>
      <c r="B68" s="268"/>
    </row>
    <row r="69" spans="1:2" ht="13" x14ac:dyDescent="0.25">
      <c r="A69" s="122"/>
      <c r="B69" s="268"/>
    </row>
    <row r="70" spans="1:2" ht="13" x14ac:dyDescent="0.25">
      <c r="A70" s="122"/>
      <c r="B70" s="268"/>
    </row>
    <row r="71" spans="1:2" ht="13" x14ac:dyDescent="0.25">
      <c r="A71" s="122"/>
      <c r="B71" s="268"/>
    </row>
    <row r="72" spans="1:2" ht="13" x14ac:dyDescent="0.25">
      <c r="A72" s="122"/>
      <c r="B72" s="268"/>
    </row>
    <row r="73" spans="1:2" ht="13" x14ac:dyDescent="0.25">
      <c r="A73" s="122"/>
      <c r="B73" s="268"/>
    </row>
    <row r="74" spans="1:2" ht="13" x14ac:dyDescent="0.25">
      <c r="A74" s="122"/>
      <c r="B74" s="268"/>
    </row>
    <row r="75" spans="1:2" ht="13" x14ac:dyDescent="0.25">
      <c r="A75" s="122"/>
      <c r="B75" s="268"/>
    </row>
    <row r="76" spans="1:2" ht="13" x14ac:dyDescent="0.25">
      <c r="A76" s="122"/>
      <c r="B76" s="268"/>
    </row>
    <row r="77" spans="1:2" ht="13" x14ac:dyDescent="0.25">
      <c r="A77" s="122"/>
      <c r="B77" s="268"/>
    </row>
    <row r="78" spans="1:2" ht="13" x14ac:dyDescent="0.25">
      <c r="A78" s="122"/>
      <c r="B78" s="268"/>
    </row>
    <row r="79" spans="1:2" ht="13" x14ac:dyDescent="0.25">
      <c r="A79" s="122"/>
      <c r="B79" s="268"/>
    </row>
    <row r="80" spans="1:2" ht="13" x14ac:dyDescent="0.25">
      <c r="A80" s="122"/>
      <c r="B80" s="268"/>
    </row>
    <row r="81" spans="1:3" ht="13" x14ac:dyDescent="0.25">
      <c r="A81" s="122"/>
      <c r="B81" s="268"/>
    </row>
    <row r="82" spans="1:3" ht="13" x14ac:dyDescent="0.25">
      <c r="A82" s="122"/>
      <c r="B82" s="268"/>
    </row>
    <row r="83" spans="1:3" ht="13" x14ac:dyDescent="0.25">
      <c r="A83" s="122"/>
      <c r="B83" s="268"/>
    </row>
    <row r="84" spans="1:3" ht="13" x14ac:dyDescent="0.25">
      <c r="A84" s="122"/>
      <c r="B84" s="268"/>
    </row>
    <row r="85" spans="1:3" ht="13" x14ac:dyDescent="0.25">
      <c r="A85" s="122"/>
      <c r="B85" s="268"/>
    </row>
    <row r="86" spans="1:3" ht="13" x14ac:dyDescent="0.25">
      <c r="A86" s="122"/>
      <c r="B86" s="268"/>
    </row>
    <row r="87" spans="1:3" ht="13" x14ac:dyDescent="0.25">
      <c r="A87" s="122"/>
      <c r="B87" s="268"/>
    </row>
    <row r="88" spans="1:3" ht="13" x14ac:dyDescent="0.25">
      <c r="A88" s="122"/>
      <c r="B88" s="268"/>
    </row>
    <row r="89" spans="1:3" ht="13" x14ac:dyDescent="0.25">
      <c r="A89" s="122"/>
      <c r="B89" s="268"/>
    </row>
    <row r="90" spans="1:3" ht="13" x14ac:dyDescent="0.25">
      <c r="A90" s="122"/>
      <c r="B90" s="268"/>
    </row>
    <row r="91" spans="1:3" ht="13" x14ac:dyDescent="0.25">
      <c r="A91" s="122"/>
      <c r="B91" s="268"/>
    </row>
    <row r="92" spans="1:3" ht="13" x14ac:dyDescent="0.25">
      <c r="B92" s="268"/>
    </row>
    <row r="93" spans="1:3" ht="13" x14ac:dyDescent="0.25">
      <c r="B93" s="268"/>
    </row>
    <row r="94" spans="1:3" ht="13" x14ac:dyDescent="0.25">
      <c r="C94" s="268"/>
    </row>
    <row r="95" spans="1:3" ht="13" x14ac:dyDescent="0.25">
      <c r="C95" s="268"/>
    </row>
    <row r="96" spans="1:3" ht="13" x14ac:dyDescent="0.25">
      <c r="C96" s="268"/>
    </row>
    <row r="97" spans="3:3" ht="13" x14ac:dyDescent="0.25">
      <c r="C97" s="268"/>
    </row>
    <row r="98" spans="3:3" ht="13" x14ac:dyDescent="0.25">
      <c r="C98" s="268"/>
    </row>
    <row r="99" spans="3:3" ht="13" x14ac:dyDescent="0.25">
      <c r="C99" s="268"/>
    </row>
    <row r="100" spans="3:3" ht="13" x14ac:dyDescent="0.25">
      <c r="C100" s="268"/>
    </row>
    <row r="101" spans="3:3" ht="13" x14ac:dyDescent="0.25">
      <c r="C101" s="268"/>
    </row>
    <row r="102" spans="3:3" ht="13" x14ac:dyDescent="0.25">
      <c r="C102" s="268"/>
    </row>
    <row r="103" spans="3:3" ht="13" x14ac:dyDescent="0.25">
      <c r="C103" s="268"/>
    </row>
    <row r="104" spans="3:3" ht="13" x14ac:dyDescent="0.25">
      <c r="C104" s="268"/>
    </row>
    <row r="105" spans="3:3" ht="13" x14ac:dyDescent="0.25">
      <c r="C105" s="268"/>
    </row>
    <row r="106" spans="3:3" ht="13" x14ac:dyDescent="0.25">
      <c r="C106" s="268"/>
    </row>
    <row r="107" spans="3:3" ht="13" x14ac:dyDescent="0.25">
      <c r="C107" s="268"/>
    </row>
    <row r="108" spans="3:3" ht="13" x14ac:dyDescent="0.25">
      <c r="C108" s="268"/>
    </row>
    <row r="109" spans="3:3" ht="13" x14ac:dyDescent="0.25">
      <c r="C109" s="268"/>
    </row>
    <row r="110" spans="3:3" ht="13" x14ac:dyDescent="0.25">
      <c r="C110" s="268"/>
    </row>
    <row r="111" spans="3:3" ht="13" x14ac:dyDescent="0.25">
      <c r="C111" s="268"/>
    </row>
    <row r="112" spans="3:3" ht="13" x14ac:dyDescent="0.25">
      <c r="C112" s="268"/>
    </row>
    <row r="113" spans="3:3" ht="13" x14ac:dyDescent="0.25">
      <c r="C113" s="268"/>
    </row>
  </sheetData>
  <sheetProtection algorithmName="SHA-512" hashValue="eJ0hgNX08PDQLAR1qPKQmcbg9A5z5ZtlhXUcpTbMDoeSBzjQsSh2KjTr/yBHB+aJZmW5wTK107xhYSiM+SiSqQ==" saltValue="YkQNIr3KhEFGZS26NhZcoA==" spinCount="100000" sheet="1" objects="1" scenarios="1"/>
  <mergeCells count="14">
    <mergeCell ref="G43:H43"/>
    <mergeCell ref="G55:H56"/>
    <mergeCell ref="D60:H61"/>
    <mergeCell ref="B34:C34"/>
    <mergeCell ref="D30:E30"/>
    <mergeCell ref="H30:I30"/>
    <mergeCell ref="G37:H37"/>
    <mergeCell ref="G39:H39"/>
    <mergeCell ref="G41:H41"/>
    <mergeCell ref="B6:H6"/>
    <mergeCell ref="B8:H8"/>
    <mergeCell ref="G10:H10"/>
    <mergeCell ref="D11:G11"/>
    <mergeCell ref="H32:I32"/>
  </mergeCells>
  <conditionalFormatting sqref="D16:G27">
    <cfRule type="expression" dxfId="4" priority="2">
      <formula>D16&gt;D15</formula>
    </cfRule>
  </conditionalFormatting>
  <conditionalFormatting sqref="H15:H28">
    <cfRule type="cellIs" dxfId="3" priority="30" operator="equal">
      <formula>"Error! Check Format"</formula>
    </cfRule>
  </conditionalFormatting>
  <conditionalFormatting sqref="J15">
    <cfRule type="cellIs" dxfId="2" priority="29" operator="equal">
      <formula>"Not OK"</formula>
    </cfRule>
  </conditionalFormatting>
  <conditionalFormatting sqref="J21">
    <cfRule type="cellIs" dxfId="1" priority="28" operator="equal">
      <formula>"Not OK"</formula>
    </cfRule>
  </conditionalFormatting>
  <conditionalFormatting sqref="J28">
    <cfRule type="cellIs" dxfId="0" priority="27" operator="equal">
      <formula>"Not OK"</formula>
    </cfRule>
  </conditionalFormatting>
  <dataValidations count="3">
    <dataValidation type="list" allowBlank="1" showInputMessage="1" showErrorMessage="1" sqref="H30:I30" xr:uid="{00000000-0002-0000-0900-000000000000}">
      <formula1>"GR,LS,Slag,GR/LS,GR/Slag,LS/Slag,GR/LS/Slag"</formula1>
    </dataValidation>
    <dataValidation type="list" allowBlank="1" showInputMessage="1" showErrorMessage="1" sqref="D30:E32" xr:uid="{00000000-0002-0000-0900-000001000000}">
      <formula1>"Method 1,Method 2"</formula1>
    </dataValidation>
    <dataValidation type="list" allowBlank="1" showInputMessage="1" showErrorMessage="1" sqref="H53" xr:uid="{00000000-0002-0000-0900-000002000000}">
      <formula1>"Yes,No"</formula1>
    </dataValidation>
  </dataValidations>
  <printOptions horizontalCentered="1"/>
  <pageMargins left="0.5" right="0.5" top="0.5" bottom="0.5" header="0.3" footer="0.3"/>
  <pageSetup scale="6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1:O44"/>
  <sheetViews>
    <sheetView zoomScale="80" zoomScaleNormal="80" workbookViewId="0"/>
  </sheetViews>
  <sheetFormatPr defaultColWidth="8.90625" defaultRowHeight="12.5" x14ac:dyDescent="0.25"/>
  <cols>
    <col min="1" max="3" width="8.90625" style="17"/>
    <col min="4" max="4" width="11" style="17" bestFit="1" customWidth="1"/>
    <col min="5" max="11" width="8.90625" style="17"/>
    <col min="12" max="12" width="12.6328125" style="17" customWidth="1"/>
    <col min="13" max="16384" width="8.90625" style="17"/>
  </cols>
  <sheetData>
    <row r="1" spans="1:15" ht="15" customHeight="1" x14ac:dyDescent="0.25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5" ht="15" customHeight="1" x14ac:dyDescent="0.25">
      <c r="A2" s="681" t="s">
        <v>1245</v>
      </c>
      <c r="B2" s="681"/>
      <c r="C2" s="659" t="str">
        <f>IF('TRANS. COV.'!U29&lt;&gt;"",'TRANS. COV.'!U29,"")</f>
        <v>24-5678</v>
      </c>
      <c r="D2" s="659"/>
      <c r="E2" s="137"/>
      <c r="F2" s="101"/>
      <c r="G2" s="101"/>
      <c r="H2" s="101"/>
      <c r="I2" s="101"/>
      <c r="J2" s="101"/>
      <c r="K2" s="106" t="s">
        <v>342</v>
      </c>
      <c r="L2" s="272">
        <f>IF('TRANS. COV.'!W71&lt;&gt;"",'TRANS. COV.'!W71,"")</f>
        <v>45458</v>
      </c>
      <c r="M2" s="212"/>
    </row>
    <row r="3" spans="1:15" ht="15" customHeight="1" x14ac:dyDescent="0.25">
      <c r="A3" s="680" t="s">
        <v>123</v>
      </c>
      <c r="B3" s="680"/>
      <c r="C3" s="661" t="str">
        <f>IF('TRANS. COV.'!U35&lt;&gt;"",'TRANS. COV.'!U35,"")</f>
        <v>301 Base</v>
      </c>
      <c r="D3" s="661"/>
      <c r="E3" s="661"/>
      <c r="F3" s="101"/>
      <c r="G3" s="101"/>
      <c r="H3" s="101"/>
      <c r="I3" s="101"/>
      <c r="J3" s="101"/>
      <c r="K3" s="212"/>
      <c r="L3" s="212"/>
      <c r="M3" s="212"/>
    </row>
    <row r="4" spans="1:15" ht="15" customHeight="1" x14ac:dyDescent="0.25">
      <c r="A4" s="149"/>
      <c r="B4" s="149"/>
      <c r="C4" s="149"/>
      <c r="D4" s="149"/>
      <c r="E4" s="149"/>
      <c r="F4" s="212"/>
      <c r="G4" s="212"/>
      <c r="H4" s="212"/>
      <c r="I4" s="212"/>
      <c r="J4" s="212"/>
      <c r="K4" s="212"/>
      <c r="L4" s="212"/>
      <c r="M4" s="212"/>
    </row>
    <row r="5" spans="1:15" ht="15" customHeight="1" x14ac:dyDescent="0.25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</row>
    <row r="6" spans="1:15" ht="15.5" x14ac:dyDescent="0.25">
      <c r="A6" s="511" t="s">
        <v>102</v>
      </c>
      <c r="B6" s="511"/>
      <c r="C6" s="511"/>
      <c r="D6" s="511"/>
      <c r="E6" s="511"/>
      <c r="F6" s="511"/>
      <c r="G6" s="511"/>
      <c r="H6" s="511"/>
      <c r="I6" s="511"/>
      <c r="J6" s="511"/>
      <c r="K6" s="511"/>
      <c r="L6" s="511"/>
      <c r="M6" s="511"/>
      <c r="N6" s="273"/>
    </row>
    <row r="7" spans="1:15" ht="15.5" x14ac:dyDescent="0.25">
      <c r="A7" s="154"/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3"/>
    </row>
    <row r="8" spans="1:15" ht="15.5" x14ac:dyDescent="0.25">
      <c r="A8" s="154"/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3"/>
    </row>
    <row r="9" spans="1:15" ht="15.5" x14ac:dyDescent="0.25">
      <c r="A9" s="154"/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3"/>
    </row>
    <row r="10" spans="1:15" x14ac:dyDescent="0.25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</row>
    <row r="11" spans="1:15" x14ac:dyDescent="0.25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</row>
    <row r="12" spans="1:15" x14ac:dyDescent="0.25">
      <c r="A12" s="212"/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</row>
    <row r="13" spans="1:15" x14ac:dyDescent="0.25">
      <c r="A13" s="212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</row>
    <row r="14" spans="1:15" x14ac:dyDescent="0.25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</row>
    <row r="15" spans="1:15" x14ac:dyDescent="0.25">
      <c r="A15" s="212"/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</row>
    <row r="16" spans="1:15" x14ac:dyDescent="0.25">
      <c r="A16" s="212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O16" s="117"/>
    </row>
    <row r="17" spans="1:15" x14ac:dyDescent="0.25">
      <c r="A17" s="212"/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O17" s="117"/>
    </row>
    <row r="18" spans="1:15" x14ac:dyDescent="0.25">
      <c r="A18" s="212"/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O18" s="127"/>
    </row>
    <row r="19" spans="1:15" x14ac:dyDescent="0.25">
      <c r="A19" s="212"/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</row>
    <row r="20" spans="1:15" x14ac:dyDescent="0.25">
      <c r="A20" s="212"/>
      <c r="B20" s="212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</row>
    <row r="21" spans="1:15" x14ac:dyDescent="0.25">
      <c r="A21" s="212"/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</row>
    <row r="22" spans="1:15" x14ac:dyDescent="0.25">
      <c r="A22" s="212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</row>
    <row r="23" spans="1:15" x14ac:dyDescent="0.25">
      <c r="A23" s="212"/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</row>
    <row r="24" spans="1:15" x14ac:dyDescent="0.25">
      <c r="A24" s="212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</row>
    <row r="25" spans="1:15" x14ac:dyDescent="0.25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</row>
    <row r="26" spans="1:15" x14ac:dyDescent="0.25">
      <c r="A26" s="212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</row>
    <row r="27" spans="1:15" x14ac:dyDescent="0.25">
      <c r="A27" s="212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</row>
    <row r="28" spans="1:15" x14ac:dyDescent="0.25">
      <c r="A28" s="212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</row>
    <row r="29" spans="1:15" x14ac:dyDescent="0.25">
      <c r="A29" s="212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</row>
    <row r="30" spans="1:15" x14ac:dyDescent="0.25">
      <c r="A30" s="212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</row>
    <row r="31" spans="1:15" x14ac:dyDescent="0.25">
      <c r="A31" s="212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</row>
    <row r="32" spans="1:15" x14ac:dyDescent="0.25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</row>
    <row r="33" spans="1:13" x14ac:dyDescent="0.25">
      <c r="A33" s="212"/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</row>
    <row r="34" spans="1:13" x14ac:dyDescent="0.25">
      <c r="A34" s="212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</row>
    <row r="35" spans="1:13" x14ac:dyDescent="0.25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</row>
    <row r="36" spans="1:13" x14ac:dyDescent="0.25">
      <c r="A36" s="212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</row>
    <row r="37" spans="1:13" x14ac:dyDescent="0.25">
      <c r="A37" s="212"/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</row>
    <row r="38" spans="1:13" x14ac:dyDescent="0.25">
      <c r="A38" s="212"/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</row>
    <row r="39" spans="1:13" x14ac:dyDescent="0.25">
      <c r="A39" s="212"/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</row>
    <row r="40" spans="1:13" x14ac:dyDescent="0.25">
      <c r="A40" s="212"/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</row>
    <row r="41" spans="1:13" x14ac:dyDescent="0.25">
      <c r="A41" s="212"/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</row>
    <row r="42" spans="1:13" x14ac:dyDescent="0.25">
      <c r="A42" s="212"/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</row>
    <row r="43" spans="1:13" x14ac:dyDescent="0.25">
      <c r="A43" s="212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14"/>
    </row>
    <row r="44" spans="1:13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275" t="str">
        <f>'TRANS. COV.'!AO73</f>
        <v>Ver 0.1</v>
      </c>
    </row>
  </sheetData>
  <sheetProtection algorithmName="SHA-512" hashValue="esO1tVRQo8pBxBPlv3qtm1iKN3sJTylnA4Pq00cUY1/RpUJh1wh9VRGti2YakydN/aokLYcTJnsSOivCCrpP3Q==" saltValue="GG31QqaNqDNekAvurQbprQ==" spinCount="100000" sheet="1" objects="1" scenarios="1"/>
  <mergeCells count="5">
    <mergeCell ref="A6:M6"/>
    <mergeCell ref="A3:B3"/>
    <mergeCell ref="A2:B2"/>
    <mergeCell ref="C2:D2"/>
    <mergeCell ref="C3:E3"/>
  </mergeCells>
  <phoneticPr fontId="20" type="noConversion"/>
  <printOptions horizontalCentered="1"/>
  <pageMargins left="0.5" right="0.5" top="0.5" bottom="0.5" header="0.3" footer="0.3"/>
  <pageSetup scale="9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1060F20A121844997856E036894233" ma:contentTypeVersion="9" ma:contentTypeDescription="Create a new document." ma:contentTypeScope="" ma:versionID="25c28d4d28a27aa403f36a9e32a534a7">
  <xsd:schema xmlns:xsd="http://www.w3.org/2001/XMLSchema" xmlns:xs="http://www.w3.org/2001/XMLSchema" xmlns:p="http://schemas.microsoft.com/office/2006/metadata/properties" xmlns:ns2="cdf5cfbf-cf86-4eb7-ac31-a9fd0075546e" xmlns:ns3="aa8b5681-98c3-4a1e-8391-cfa151307841" xmlns:ns4="http://schemas.microsoft.com/sharepoint/v4" targetNamespace="http://schemas.microsoft.com/office/2006/metadata/properties" ma:root="true" ma:fieldsID="e066d4e08742c05dbf70db0b28ebc67d" ns2:_="" ns3:_="" ns4:_="">
    <xsd:import namespace="cdf5cfbf-cf86-4eb7-ac31-a9fd0075546e"/>
    <xsd:import namespace="aa8b5681-98c3-4a1e-8391-cfa15130784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Group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5cfbf-cf86-4eb7-ac31-a9fd007554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b5681-98c3-4a1e-8391-cfa151307841" elementFormDefault="qualified">
    <xsd:import namespace="http://schemas.microsoft.com/office/2006/documentManagement/types"/>
    <xsd:import namespace="http://schemas.microsoft.com/office/infopath/2007/PartnerControls"/>
    <xsd:element name="Group" ma:index="9" nillable="true" ma:displayName="Group" ma:internalName="Group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oup xmlns="aa8b5681-98c3-4a1e-8391-cfa151307841">New Mix Design Packets</Group>
    <IconOverlay xmlns="http://schemas.microsoft.com/sharepoint/v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D0537D-338C-4322-A8F3-46E778156D9A}"/>
</file>

<file path=customXml/itemProps2.xml><?xml version="1.0" encoding="utf-8"?>
<ds:datastoreItem xmlns:ds="http://schemas.openxmlformats.org/officeDocument/2006/customXml" ds:itemID="{C0587606-B967-470F-B0A8-F22039615C67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DCB347D-EAEE-4A2A-9DDB-76449F2321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24</vt:i4>
      </vt:variant>
    </vt:vector>
  </HeadingPairs>
  <TitlesOfParts>
    <vt:vector size="45" baseType="lpstr">
      <vt:lpstr>GETTING STARTED</vt:lpstr>
      <vt:lpstr>TRANS. COV.</vt:lpstr>
      <vt:lpstr>JMF SHEET PG 1</vt:lpstr>
      <vt:lpstr>JMF SHEET PG 2</vt:lpstr>
      <vt:lpstr>AGG BLEND</vt:lpstr>
      <vt:lpstr>RAP 1</vt:lpstr>
      <vt:lpstr>RAP 2</vt:lpstr>
      <vt:lpstr>RAP 3</vt:lpstr>
      <vt:lpstr>0.45 GRAPH</vt:lpstr>
      <vt:lpstr>RAP BLENDING</vt:lpstr>
      <vt:lpstr>RAP MSG</vt:lpstr>
      <vt:lpstr>AWP</vt:lpstr>
      <vt:lpstr>301 Spec_New_Table</vt:lpstr>
      <vt:lpstr>ODOT Districts and Counties</vt:lpstr>
      <vt:lpstr>Asphalt Mix Producers</vt:lpstr>
      <vt:lpstr>Asphalt Plants</vt:lpstr>
      <vt:lpstr>Aggregate Sources</vt:lpstr>
      <vt:lpstr>2024 ODOT Gsb</vt:lpstr>
      <vt:lpstr>Binder PG Grades</vt:lpstr>
      <vt:lpstr>Binder Sources</vt:lpstr>
      <vt:lpstr>Fibers Sources</vt:lpstr>
      <vt:lpstr>_01</vt:lpstr>
      <vt:lpstr>_02</vt:lpstr>
      <vt:lpstr>_03</vt:lpstr>
      <vt:lpstr>_04</vt:lpstr>
      <vt:lpstr>_05</vt:lpstr>
      <vt:lpstr>_06</vt:lpstr>
      <vt:lpstr>_07</vt:lpstr>
      <vt:lpstr>_08</vt:lpstr>
      <vt:lpstr>_09</vt:lpstr>
      <vt:lpstr>_10</vt:lpstr>
      <vt:lpstr>_11</vt:lpstr>
      <vt:lpstr>_12</vt:lpstr>
      <vt:lpstr>'0.45 GRAPH'!Print_Area</vt:lpstr>
      <vt:lpstr>'AGG BLEND'!Print_Area</vt:lpstr>
      <vt:lpstr>AWP!Print_Area</vt:lpstr>
      <vt:lpstr>'GETTING STARTED'!Print_Area</vt:lpstr>
      <vt:lpstr>'JMF SHEET PG 1'!Print_Area</vt:lpstr>
      <vt:lpstr>'JMF SHEET PG 2'!Print_Area</vt:lpstr>
      <vt:lpstr>'RAP 1'!Print_Area</vt:lpstr>
      <vt:lpstr>'RAP 2'!Print_Area</vt:lpstr>
      <vt:lpstr>'RAP 3'!Print_Area</vt:lpstr>
      <vt:lpstr>'RAP BLENDING'!Print_Area</vt:lpstr>
      <vt:lpstr>'RAP MSG'!Print_Area</vt:lpstr>
      <vt:lpstr>'TRANS. COV.'!Print_Area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301 Mix Design Packet Example</dc:title>
  <dc:creator>Authorized Gateway Customer</dc:creator>
  <cp:lastModifiedBy>Ala Abbas</cp:lastModifiedBy>
  <cp:lastPrinted>2024-10-04T14:34:58Z</cp:lastPrinted>
  <dcterms:created xsi:type="dcterms:W3CDTF">1999-02-25T13:46:59Z</dcterms:created>
  <dcterms:modified xsi:type="dcterms:W3CDTF">2024-10-11T21:13:43Z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0x010100441060F20A121844997856E036894233</vt:lpwstr>
  </property>
</Properties>
</file>