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O:\Communications\Web-Team\Accessibility\Traffic-Control\"/>
    </mc:Choice>
  </mc:AlternateContent>
  <xr:revisionPtr revIDLastSave="0" documentId="13_ncr:1_{86A93305-0929-4052-B3A1-93D034E90B98}" xr6:coauthVersionLast="47" xr6:coauthVersionMax="47" xr10:uidLastSave="{00000000-0000-0000-0000-000000000000}"/>
  <workbookProtection workbookAlgorithmName="SHA-512" workbookHashValue="P3oBFav0PODNzrQ4o3fmEEIzOO7RmBimVaAYNDeXnLb5P3JTYz/2x3MBqBMToqhiz+Yj6e3JzKGmOMfgniiH4g==" workbookSaltValue="N345vW3OBIvJiYBR5YxDAw==" workbookSpinCount="100000" lockStructure="1"/>
  <bookViews>
    <workbookView xWindow="28680" yWindow="-120" windowWidth="29040" windowHeight="15720" xr2:uid="{00000000-000D-0000-FFFF-FFFF00000000}"/>
  </bookViews>
  <sheets>
    <sheet name="README" sheetId="5" r:id="rId1"/>
    <sheet name="Data Entry" sheetId="3" r:id="rId2"/>
    <sheet name="Results" sheetId="1" r:id="rId3"/>
    <sheet name="Calcs" sheetId="2" r:id="rId4"/>
  </sheets>
  <definedNames>
    <definedName name="_xlnm.Print_Area" localSheetId="0">README!$A$1:$I$44</definedName>
    <definedName name="_xlnm.Print_Area" localSheetId="2">Results!$A$1:$U$37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8" i="1" l="1"/>
  <c r="I20" i="1" l="1"/>
  <c r="C20" i="1"/>
  <c r="O16" i="1"/>
  <c r="J16" i="1"/>
  <c r="M8" i="2" s="1"/>
  <c r="D16" i="1"/>
  <c r="T30" i="2" s="1"/>
  <c r="N12" i="1"/>
  <c r="I12" i="1"/>
  <c r="C12" i="1"/>
  <c r="O8" i="1"/>
  <c r="K8" i="1"/>
  <c r="F8" i="1"/>
  <c r="B8" i="1"/>
  <c r="U30" i="2"/>
  <c r="N30" i="2"/>
  <c r="N30" i="1" l="1"/>
  <c r="P30" i="2"/>
  <c r="S30" i="2"/>
  <c r="L30" i="2"/>
  <c r="S24" i="1"/>
  <c r="J28" i="1"/>
  <c r="H28" i="1"/>
  <c r="M24" i="1"/>
  <c r="I30" i="1"/>
  <c r="L30" i="1"/>
  <c r="Q26" i="1"/>
  <c r="M28" i="1"/>
  <c r="K26" i="1"/>
  <c r="P19" i="2" l="1"/>
  <c r="N19" i="2"/>
  <c r="L19" i="2"/>
  <c r="M13" i="2"/>
  <c r="M12" i="2"/>
  <c r="L18" i="2" s="1"/>
  <c r="M11" i="2"/>
  <c r="M10" i="2"/>
  <c r="M9" i="2"/>
  <c r="N22" i="2"/>
  <c r="L22" i="2" l="1"/>
  <c r="P22" i="2"/>
  <c r="N18" i="2"/>
  <c r="P18" i="2"/>
  <c r="D12" i="2"/>
  <c r="M26" i="1"/>
  <c r="P26" i="1"/>
  <c r="R24" i="1"/>
  <c r="O24" i="1"/>
  <c r="H7" i="2"/>
  <c r="D42" i="2"/>
  <c r="D41" i="2"/>
  <c r="D40" i="2"/>
  <c r="D39" i="2"/>
  <c r="D38" i="2"/>
  <c r="D37" i="2"/>
  <c r="D36" i="2"/>
  <c r="D35" i="2"/>
  <c r="D34" i="2"/>
  <c r="D33" i="2"/>
  <c r="D32" i="2"/>
  <c r="C7" i="2"/>
  <c r="E7" i="2" s="1"/>
  <c r="D10" i="2"/>
  <c r="D14" i="2" l="1"/>
  <c r="J24" i="1" s="1"/>
  <c r="D17" i="2" l="1"/>
  <c r="D21" i="2" s="1"/>
  <c r="D25" i="2" s="1"/>
  <c r="L20" i="2" s="1"/>
  <c r="D18" i="2"/>
  <c r="D22" i="2" s="1"/>
  <c r="D26" i="2" s="1"/>
  <c r="N21" i="2" s="1"/>
  <c r="D15" i="2"/>
  <c r="D19" i="2" s="1"/>
  <c r="D23" i="2" s="1"/>
  <c r="D27" i="2" s="1"/>
  <c r="P17" i="2" s="1"/>
  <c r="T24" i="2" l="1"/>
  <c r="T25" i="2" s="1"/>
  <c r="S24" i="2"/>
  <c r="S25" i="2" s="1"/>
  <c r="P24" i="1"/>
  <c r="L17" i="2"/>
  <c r="L21" i="2"/>
  <c r="N20" i="2"/>
  <c r="I26" i="1"/>
  <c r="N17" i="2"/>
  <c r="U24" i="2"/>
  <c r="P20" i="2"/>
  <c r="P21" i="2"/>
  <c r="N26" i="1"/>
  <c r="S29" i="2" l="1"/>
  <c r="S32" i="2" s="1"/>
  <c r="S33" i="2" s="1"/>
  <c r="S36" i="2" s="1"/>
  <c r="S37" i="2" s="1"/>
  <c r="S38" i="2" s="1"/>
  <c r="T29" i="2"/>
  <c r="T32" i="2" s="1"/>
  <c r="T33" i="2" s="1"/>
  <c r="T36" i="2" s="1"/>
  <c r="T37" i="2" s="1"/>
  <c r="T38" i="2" s="1"/>
  <c r="L24" i="2"/>
  <c r="L29" i="2" s="1"/>
  <c r="L32" i="2" s="1"/>
  <c r="L33" i="2" s="1"/>
  <c r="L36" i="2" s="1"/>
  <c r="N24" i="2"/>
  <c r="N25" i="2" s="1"/>
  <c r="U29" i="2"/>
  <c r="U32" i="2" s="1"/>
  <c r="U33" i="2" s="1"/>
  <c r="U25" i="2"/>
  <c r="P24" i="2"/>
  <c r="S34" i="2" l="1"/>
  <c r="L25" i="2"/>
  <c r="F28" i="1" s="1"/>
  <c r="T34" i="2"/>
  <c r="N29" i="2"/>
  <c r="N32" i="2" s="1"/>
  <c r="N33" i="2" s="1"/>
  <c r="N36" i="2" s="1"/>
  <c r="N37" i="2" s="1"/>
  <c r="N38" i="2" s="1"/>
  <c r="U34" i="2"/>
  <c r="U36" i="2"/>
  <c r="U37" i="2" s="1"/>
  <c r="U38" i="2" s="1"/>
  <c r="P25" i="2"/>
  <c r="K28" i="1" s="1"/>
  <c r="P29" i="2"/>
  <c r="P32" i="2" s="1"/>
  <c r="P33" i="2" s="1"/>
  <c r="P36" i="2" s="1"/>
  <c r="L34" i="2"/>
  <c r="L37" i="2"/>
  <c r="L38" i="2" s="1"/>
  <c r="F30" i="1" l="1"/>
  <c r="M32" i="1" s="1"/>
  <c r="N34" i="2"/>
  <c r="P34" i="2"/>
  <c r="P37" i="2"/>
  <c r="P38" i="2" l="1"/>
  <c r="K30" i="1" s="1"/>
</calcChain>
</file>

<file path=xl/sharedStrings.xml><?xml version="1.0" encoding="utf-8"?>
<sst xmlns="http://schemas.openxmlformats.org/spreadsheetml/2006/main" count="144" uniqueCount="120">
  <si>
    <t>3-phase</t>
  </si>
  <si>
    <t>1-phase</t>
  </si>
  <si>
    <t>% Impedance (from Nameplate):</t>
  </si>
  <si>
    <t>Total kVA nameplate rating:</t>
  </si>
  <si>
    <t>Distance from XFMR secondary to point of fault (feet):</t>
  </si>
  <si>
    <t>kVA</t>
  </si>
  <si>
    <t>feet</t>
  </si>
  <si>
    <t>step 1: full load current</t>
  </si>
  <si>
    <t>Base Voltage line-to-line (secondary):</t>
  </si>
  <si>
    <t>V</t>
  </si>
  <si>
    <t>A</t>
  </si>
  <si>
    <t>step 2: transf. multiplier</t>
  </si>
  <si>
    <t>step 3: bolted fault current</t>
  </si>
  <si>
    <t>at tranformer</t>
  </si>
  <si>
    <t>A (line to line)</t>
  </si>
  <si>
    <t>A (line to neutral) for 1-phase only</t>
  </si>
  <si>
    <t xml:space="preserve">step 4: </t>
  </si>
  <si>
    <t>C values for Conductors</t>
  </si>
  <si>
    <t>Choose Cable size from XFMR secondary to point of fault:</t>
  </si>
  <si>
    <t>AWG</t>
  </si>
  <si>
    <t>C=</t>
  </si>
  <si>
    <t># of Parallel Conductors Installed:</t>
  </si>
  <si>
    <t>n=</t>
  </si>
  <si>
    <t>find "f" factor</t>
  </si>
  <si>
    <t>(for 3-phase fault)</t>
  </si>
  <si>
    <t>(for 1-phase line-to-line fault)</t>
  </si>
  <si>
    <t>(for 1-phase line-to-neutral fault)</t>
  </si>
  <si>
    <t>step 5:  find multiplier</t>
  </si>
  <si>
    <t xml:space="preserve">step 6: </t>
  </si>
  <si>
    <t>bolted fault current</t>
  </si>
  <si>
    <t>at point of fault</t>
  </si>
  <si>
    <t>Bolted Fault Current at XFMR Secondary is</t>
  </si>
  <si>
    <t>Bolted Fault Current at point of fault is</t>
  </si>
  <si>
    <t>Choose Phase (use dropdown menu):</t>
  </si>
  <si>
    <t>Characteristic gap between conductors (13mm for ODOT Lighting and Signals):</t>
  </si>
  <si>
    <t>mm</t>
  </si>
  <si>
    <t>Open or boxed conductors:</t>
  </si>
  <si>
    <t>open</t>
  </si>
  <si>
    <t>boxed</t>
  </si>
  <si>
    <t>K=</t>
  </si>
  <si>
    <t>K1=</t>
  </si>
  <si>
    <t>K2=</t>
  </si>
  <si>
    <t>Grounded or Ungrounded/High-R Grounded System:</t>
  </si>
  <si>
    <t>grounded</t>
  </si>
  <si>
    <t>ungrounded/High-R Grounded</t>
  </si>
  <si>
    <t>Cf=</t>
  </si>
  <si>
    <t>Arcing Time from fuse or CB (use 0.2 if unknown):</t>
  </si>
  <si>
    <t>seconds</t>
  </si>
  <si>
    <t>Working Distance of person doing LIVE WORK:</t>
  </si>
  <si>
    <t>V=</t>
  </si>
  <si>
    <t>l-n</t>
  </si>
  <si>
    <t>l-l</t>
  </si>
  <si>
    <t>Arcing Current</t>
  </si>
  <si>
    <t>L-L</t>
  </si>
  <si>
    <t>L-N</t>
  </si>
  <si>
    <t>Ia=</t>
  </si>
  <si>
    <t>Arc Flash Analysis Calculator for Proper PPE Requirements</t>
  </si>
  <si>
    <t>log(Ia)=</t>
  </si>
  <si>
    <t>Formula 5.2</t>
  </si>
  <si>
    <t>Instructions:  Enter data in Highlighted Fields to calculate the bolted fault current, arcing current and incident energy.</t>
  </si>
  <si>
    <t>Formula 5.3</t>
  </si>
  <si>
    <t>Incident Energy</t>
  </si>
  <si>
    <t>log(En)</t>
  </si>
  <si>
    <t>En</t>
  </si>
  <si>
    <t>(J/cm^2)</t>
  </si>
  <si>
    <t>(cal/cm^2)</t>
  </si>
  <si>
    <t>Normalized Incident Energy</t>
  </si>
  <si>
    <t>E</t>
  </si>
  <si>
    <t>(for 1000 V and lower systems)</t>
  </si>
  <si>
    <t>(for 1 to 15 kV systems)</t>
  </si>
  <si>
    <r>
      <rPr>
        <b/>
        <sz val="20"/>
        <color theme="1"/>
        <rFont val="Calibri"/>
        <family val="2"/>
        <scheme val="minor"/>
      </rPr>
      <t>The Arcing Current is</t>
    </r>
    <r>
      <rPr>
        <sz val="11"/>
        <color theme="1"/>
        <rFont val="Calibri"/>
        <family val="2"/>
        <scheme val="minor"/>
      </rPr>
      <t xml:space="preserve"> </t>
    </r>
  </si>
  <si>
    <t>Instructions:  Enter data in highlighted fields to conduct an Arc Flash Analysis</t>
  </si>
  <si>
    <t>2.   Total kVA nameplate rating:</t>
  </si>
  <si>
    <t>7.   # of Parallel Conductors Installed:</t>
  </si>
  <si>
    <r>
      <t>10. Grounded or Ungrounded/High-R Grounded System (</t>
    </r>
    <r>
      <rPr>
        <sz val="11"/>
        <color theme="9" tint="-0.249977111117893"/>
        <rFont val="Calibri"/>
        <family val="2"/>
        <scheme val="minor"/>
      </rPr>
      <t>use dropdown menu</t>
    </r>
    <r>
      <rPr>
        <sz val="11"/>
        <color theme="1"/>
        <rFont val="Calibri"/>
        <family val="2"/>
        <scheme val="minor"/>
      </rPr>
      <t>):</t>
    </r>
  </si>
  <si>
    <r>
      <t>9.   Open or boxed conductors (</t>
    </r>
    <r>
      <rPr>
        <sz val="11"/>
        <color theme="9" tint="-0.249977111117893"/>
        <rFont val="Calibri"/>
        <family val="2"/>
        <scheme val="minor"/>
      </rPr>
      <t>use dropdown menu</t>
    </r>
    <r>
      <rPr>
        <sz val="11"/>
        <color theme="1"/>
        <rFont val="Calibri"/>
        <family val="2"/>
        <scheme val="minor"/>
      </rPr>
      <t>):</t>
    </r>
  </si>
  <si>
    <r>
      <t>8.   Characteristic gap between conductors (</t>
    </r>
    <r>
      <rPr>
        <sz val="11"/>
        <color theme="9" tint="-0.249977111117893"/>
        <rFont val="Calibri"/>
        <family val="2"/>
        <scheme val="minor"/>
      </rPr>
      <t>13mm for ODOT Lighting and Signals</t>
    </r>
    <r>
      <rPr>
        <sz val="11"/>
        <color theme="1"/>
        <rFont val="Calibri"/>
        <family val="2"/>
        <scheme val="minor"/>
      </rPr>
      <t>):</t>
    </r>
  </si>
  <si>
    <r>
      <t>6.   Base Voltage line-to-line (</t>
    </r>
    <r>
      <rPr>
        <sz val="11"/>
        <color theme="9" tint="-0.249977111117893"/>
        <rFont val="Calibri"/>
        <family val="2"/>
        <scheme val="minor"/>
      </rPr>
      <t>secondary</t>
    </r>
    <r>
      <rPr>
        <sz val="11"/>
        <color theme="1"/>
        <rFont val="Calibri"/>
        <family val="2"/>
        <scheme val="minor"/>
      </rPr>
      <t>):</t>
    </r>
  </si>
  <si>
    <r>
      <t>5.   Distance from XFMR secondary to point of fault (</t>
    </r>
    <r>
      <rPr>
        <sz val="11"/>
        <color theme="9" tint="-0.249977111117893"/>
        <rFont val="Calibri"/>
        <family val="2"/>
        <scheme val="minor"/>
      </rPr>
      <t>feet</t>
    </r>
    <r>
      <rPr>
        <sz val="11"/>
        <color theme="1"/>
        <rFont val="Calibri"/>
        <family val="2"/>
        <scheme val="minor"/>
      </rPr>
      <t>):</t>
    </r>
  </si>
  <si>
    <r>
      <t>4.   Choose Cable size from XFMR secondary to point of fault (</t>
    </r>
    <r>
      <rPr>
        <sz val="11"/>
        <color theme="9" tint="-0.249977111117893"/>
        <rFont val="Calibri"/>
        <family val="2"/>
        <scheme val="minor"/>
      </rPr>
      <t>use dropdown menu</t>
    </r>
    <r>
      <rPr>
        <sz val="11"/>
        <color theme="1"/>
        <rFont val="Calibri"/>
        <family val="2"/>
        <scheme val="minor"/>
      </rPr>
      <t>):</t>
    </r>
  </si>
  <si>
    <r>
      <t>3.   % Impedance (</t>
    </r>
    <r>
      <rPr>
        <sz val="11"/>
        <color theme="9" tint="-0.249977111117893"/>
        <rFont val="Calibri"/>
        <family val="2"/>
        <scheme val="minor"/>
      </rPr>
      <t>from nameplate</t>
    </r>
    <r>
      <rPr>
        <sz val="11"/>
        <color theme="1"/>
        <rFont val="Calibri"/>
        <family val="2"/>
        <scheme val="minor"/>
      </rPr>
      <t>):</t>
    </r>
  </si>
  <si>
    <r>
      <t>1.  Choose Phase (</t>
    </r>
    <r>
      <rPr>
        <sz val="11"/>
        <color theme="9" tint="-0.249977111117893"/>
        <rFont val="Calibri"/>
        <family val="2"/>
        <scheme val="minor"/>
      </rPr>
      <t>use dropdown menu</t>
    </r>
    <r>
      <rPr>
        <sz val="11"/>
        <color theme="1"/>
        <rFont val="Calibri"/>
        <family val="2"/>
        <scheme val="minor"/>
      </rPr>
      <t>):</t>
    </r>
  </si>
  <si>
    <t>12. Working Distance of person doing LIVE WORK:</t>
  </si>
  <si>
    <t xml:space="preserve">Note: </t>
  </si>
  <si>
    <t>The Incident Energy is</t>
  </si>
  <si>
    <t>cal/cm^2</t>
  </si>
  <si>
    <t>The Hazard Risk Category according to the Incident Energy is</t>
  </si>
  <si>
    <t xml:space="preserve">      Calculations."</t>
  </si>
  <si>
    <t xml:space="preserve">2.  The arcing current and incident energy calculations were obtained from IEEE Std. 1584-2002 "IEEE Guide for Performing Arc-Flash Hazard </t>
  </si>
  <si>
    <t>1.  The bolted fault current calculations were obtained from the electrical plan review</t>
  </si>
  <si>
    <t>published by Cooper-Bussmann in November 2002.</t>
  </si>
  <si>
    <t>References:</t>
  </si>
  <si>
    <t>This value is obtained from Step 2 on Page 7. It is dependent 
upon the transformer percent impedance.</t>
  </si>
  <si>
    <t>The top value is obtained from Step 3 on Page 7. It is obtained by multiplying the full load current by the transformer multiplier. The bottom value is only used for 1Ø systems and is obtained by multiplying the top value by 1.5(the justification for this is included in Note 2 located at the bottom of Page 7.</t>
  </si>
  <si>
    <t>The "f" factor is obtained from Step 4 on Page 7. There are
three separate equatons depending on the fault and the
phase of the system. The values used to obtain the "f" factor are both referenced and obtained from user input.</t>
  </si>
  <si>
    <t>The multiplier is obtained from Step 5 on Page 7. The
multiplier values are dependent upon the "f" factor for each
phase and fault location.</t>
  </si>
  <si>
    <t>The bolted fault current at the point of fault is obtained from Step 6 on Page 7. It is calculated by multiplying the transformer let-through short-circuit current by the multiplier for each particular phase and location of fault.</t>
  </si>
  <si>
    <t>This value is obtained from Step 1 on Page 7. It will change 
depending on if the system is 1Ø or 3Ø.</t>
  </si>
  <si>
    <t>The values in the "C Values fo Conductors" table on the right are from Table 2 on Page 8.</t>
  </si>
  <si>
    <t>13. Calculation Factor per IEEE 1584-2002 9.11.3 (default = 1.50):</t>
  </si>
  <si>
    <t>E (calculation factor) (9.11.3)</t>
  </si>
  <si>
    <t xml:space="preserve">    Stamp Field:</t>
  </si>
  <si>
    <t>The calculations and values contained below are all from the "Electrical Plan Review" PDF that is located on the Referenced PDFs sheet(referenced PDFs sheet has been removed).</t>
  </si>
  <si>
    <t>The calculations and values contained below are all from "IEEE 1584-2002" that is located on the Referenced PDFs sheet(referenced PDFs sheet has been removed).</t>
  </si>
  <si>
    <t>This analysis shall be performerd by a registered professional engineer.</t>
  </si>
  <si>
    <t>Signature:</t>
  </si>
  <si>
    <t>Date:</t>
  </si>
  <si>
    <t>Results: Arc Flash Analysis Calculator for Determining Appropriate PPE</t>
  </si>
  <si>
    <t>LOCATION DATA</t>
  </si>
  <si>
    <t>County/Route/Section:</t>
  </si>
  <si>
    <t>Address (if applicable):</t>
  </si>
  <si>
    <t>Date of Fieldwork (if applic.):</t>
  </si>
  <si>
    <t>Meter Number:</t>
  </si>
  <si>
    <t>Organization:</t>
  </si>
  <si>
    <t>Log point:</t>
  </si>
  <si>
    <t>Location Sketch (add supporting documents as necessary on attached page)</t>
  </si>
  <si>
    <t>DISCLAIMER MISSING</t>
  </si>
  <si>
    <t>kA</t>
  </si>
  <si>
    <r>
      <t>11. Arcing Time from fuse or CB (</t>
    </r>
    <r>
      <rPr>
        <sz val="11"/>
        <color theme="9" tint="-0.249977111117893"/>
        <rFont val="Calibri"/>
        <family val="2"/>
        <scheme val="minor"/>
      </rPr>
      <t>use 2.0 sec. if unknown and power service ≤ 167 kVA, otherwise consult with power company</t>
    </r>
    <r>
      <rPr>
        <sz val="11"/>
        <color theme="1"/>
        <rFont val="Calibri"/>
        <family val="2"/>
        <scheme val="minor"/>
      </rPr>
      <t>):</t>
    </r>
  </si>
  <si>
    <t>ODOT ARC  FLASH CALCULATION SPREADSHEET (Revised 10-28-21)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</si>
</sst>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6"/>
      <color theme="1"/>
      <name val="Calibri"/>
      <family val="2"/>
      <scheme val="minor"/>
    </font>
    <font>
      <b/>
      <sz val="16"/>
      <name val="Calibri"/>
      <family val="2"/>
      <scheme val="minor"/>
    </font>
    <font>
      <b/>
      <sz val="20"/>
      <color theme="9" tint="-0.499984740745262"/>
      <name val="Calibri"/>
      <family val="2"/>
      <scheme val="minor"/>
    </font>
    <font>
      <b/>
      <sz val="20"/>
      <color theme="1"/>
      <name val="Calibri"/>
      <family val="2"/>
      <scheme val="minor"/>
    </font>
    <font>
      <b/>
      <sz val="20"/>
      <color rgb="FFFF0000"/>
      <name val="Calibri"/>
      <family val="2"/>
      <scheme val="minor"/>
    </font>
    <font>
      <b/>
      <sz val="20"/>
      <name val="Calibri"/>
      <family val="2"/>
      <scheme val="minor"/>
    </font>
    <font>
      <b/>
      <sz val="18"/>
      <color rgb="FFFF0000"/>
      <name val="Calibri"/>
      <family val="2"/>
      <scheme val="minor"/>
    </font>
    <font>
      <b/>
      <sz val="18"/>
      <color theme="1"/>
      <name val="Calibri"/>
      <family val="2"/>
      <scheme val="minor"/>
    </font>
    <font>
      <b/>
      <sz val="16"/>
      <color rgb="FFFF0000"/>
      <name val="Calibri"/>
      <family val="2"/>
      <scheme val="minor"/>
    </font>
    <font>
      <b/>
      <sz val="24"/>
      <color theme="9" tint="-0.499984740745262"/>
      <name val="Calibri"/>
      <family val="2"/>
      <scheme val="minor"/>
    </font>
    <font>
      <sz val="11"/>
      <color theme="9" tint="-0.249977111117893"/>
      <name val="Calibri"/>
      <family val="2"/>
      <scheme val="minor"/>
    </font>
    <font>
      <b/>
      <sz val="12"/>
      <color theme="1"/>
      <name val="Calibri"/>
      <family val="2"/>
      <scheme val="minor"/>
    </font>
    <font>
      <b/>
      <u/>
      <sz val="11"/>
      <color theme="1"/>
      <name val="Calibri"/>
      <family val="2"/>
      <scheme val="minor"/>
    </font>
    <font>
      <sz val="9"/>
      <color theme="1"/>
      <name val="Calibri"/>
      <family val="2"/>
      <scheme val="minor"/>
    </font>
    <font>
      <b/>
      <sz val="28"/>
      <color rgb="FFE2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bgColor indexed="64"/>
      </patternFill>
    </fill>
    <fill>
      <patternFill patternType="solid">
        <fgColor theme="1"/>
        <bgColor indexed="64"/>
      </patternFill>
    </fill>
  </fills>
  <borders count="20">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0" fontId="0" fillId="2" borderId="0" xfId="0" applyFill="1" applyAlignment="1" applyProtection="1">
      <alignment horizontal="center"/>
      <protection locked="0"/>
    </xf>
    <xf numFmtId="0" fontId="0" fillId="0" borderId="1" xfId="0" applyBorder="1"/>
    <xf numFmtId="17" fontId="0" fillId="0" borderId="0" xfId="0" applyNumberFormat="1" applyAlignment="1">
      <alignment horizontal="right"/>
    </xf>
    <xf numFmtId="0" fontId="0" fillId="0" borderId="0" xfId="0" applyAlignment="1">
      <alignment horizontal="right"/>
    </xf>
    <xf numFmtId="2" fontId="0" fillId="0" borderId="0" xfId="0" applyNumberFormat="1"/>
    <xf numFmtId="0" fontId="5" fillId="0" borderId="0" xfId="0" applyFont="1"/>
    <xf numFmtId="0" fontId="3" fillId="0" borderId="0" xfId="0" applyFont="1"/>
    <xf numFmtId="0" fontId="0" fillId="3" borderId="0" xfId="0" applyFill="1"/>
    <xf numFmtId="0" fontId="0" fillId="5" borderId="0" xfId="0" applyFill="1"/>
    <xf numFmtId="0" fontId="0" fillId="6" borderId="0" xfId="0" applyFill="1"/>
    <xf numFmtId="0" fontId="10" fillId="0" borderId="0" xfId="0" applyFont="1"/>
    <xf numFmtId="0" fontId="0" fillId="7" borderId="0" xfId="0" applyFill="1"/>
    <xf numFmtId="0" fontId="0" fillId="0" borderId="3" xfId="0" applyBorder="1"/>
    <xf numFmtId="0" fontId="0" fillId="0" borderId="4" xfId="0" applyBorder="1"/>
    <xf numFmtId="0" fontId="0" fillId="0" borderId="6" xfId="0" applyBorder="1"/>
    <xf numFmtId="0" fontId="0" fillId="0" borderId="5" xfId="0" applyBorder="1"/>
    <xf numFmtId="0" fontId="4" fillId="0" borderId="0" xfId="0" applyFont="1"/>
    <xf numFmtId="0" fontId="1" fillId="0" borderId="0" xfId="0" applyFont="1"/>
    <xf numFmtId="1" fontId="6" fillId="0" borderId="0" xfId="0" applyNumberFormat="1" applyFont="1"/>
    <xf numFmtId="0" fontId="7" fillId="0" borderId="0" xfId="0" applyFont="1"/>
    <xf numFmtId="0" fontId="2" fillId="0" borderId="0" xfId="0" applyFont="1"/>
    <xf numFmtId="0" fontId="5" fillId="0" borderId="0" xfId="0" applyFont="1" applyAlignment="1">
      <alignment horizontal="right"/>
    </xf>
    <xf numFmtId="0" fontId="9" fillId="0" borderId="0" xfId="0" applyFont="1"/>
    <xf numFmtId="0" fontId="8" fillId="0" borderId="0" xfId="0" applyFont="1"/>
    <xf numFmtId="0" fontId="0" fillId="0" borderId="7" xfId="0" applyBorder="1"/>
    <xf numFmtId="0" fontId="0" fillId="0" borderId="8" xfId="0" applyBorder="1"/>
    <xf numFmtId="0" fontId="0" fillId="0" borderId="2" xfId="0" applyBorder="1"/>
    <xf numFmtId="0" fontId="4" fillId="0" borderId="5" xfId="0" applyFont="1" applyBorder="1"/>
    <xf numFmtId="0" fontId="0" fillId="5" borderId="3" xfId="0" applyFill="1" applyBorder="1"/>
    <xf numFmtId="0" fontId="0" fillId="5" borderId="1" xfId="0" applyFill="1" applyBorder="1"/>
    <xf numFmtId="164" fontId="0" fillId="5" borderId="3" xfId="0" applyNumberFormat="1" applyFill="1" applyBorder="1"/>
    <xf numFmtId="164" fontId="0" fillId="5" borderId="0" xfId="0" applyNumberFormat="1" applyFill="1"/>
    <xf numFmtId="0" fontId="0" fillId="9" borderId="0" xfId="0" applyFill="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0" xfId="0" applyAlignment="1">
      <alignment horizontal="left" vertical="top"/>
    </xf>
    <xf numFmtId="0" fontId="14" fillId="0" borderId="0" xfId="0" applyFont="1"/>
    <xf numFmtId="0" fontId="0" fillId="0" borderId="0" xfId="0" applyAlignment="1">
      <alignment vertical="center"/>
    </xf>
    <xf numFmtId="0" fontId="0" fillId="0" borderId="7" xfId="0" applyBorder="1" applyAlignment="1">
      <alignment horizontal="left" vertical="top"/>
    </xf>
    <xf numFmtId="0" fontId="0" fillId="0" borderId="1" xfId="0" applyBorder="1" applyAlignment="1">
      <alignment horizontal="left" vertical="top"/>
    </xf>
    <xf numFmtId="0" fontId="0" fillId="0" borderId="8" xfId="0" applyBorder="1" applyAlignment="1">
      <alignment horizontal="left" vertical="top"/>
    </xf>
    <xf numFmtId="0" fontId="0" fillId="0" borderId="0" xfId="0"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13" fillId="0" borderId="0" xfId="0" applyFont="1" applyAlignment="1">
      <alignment horizontal="center" vertical="top"/>
    </xf>
    <xf numFmtId="0" fontId="0" fillId="0" borderId="0" xfId="0" applyAlignment="1">
      <alignment horizontal="left" vertical="top" wrapText="1"/>
    </xf>
    <xf numFmtId="0" fontId="0" fillId="0" borderId="17" xfId="0" applyBorder="1"/>
    <xf numFmtId="0" fontId="0" fillId="0" borderId="18" xfId="0" applyBorder="1"/>
    <xf numFmtId="0" fontId="0" fillId="0" borderId="19" xfId="0" applyBorder="1"/>
    <xf numFmtId="0" fontId="0" fillId="0" borderId="2" xfId="0" applyBorder="1"/>
    <xf numFmtId="0" fontId="0" fillId="0" borderId="3" xfId="0" applyBorder="1"/>
    <xf numFmtId="0" fontId="0" fillId="0" borderId="4" xfId="0" applyBorder="1"/>
    <xf numFmtId="0" fontId="0" fillId="0" borderId="7" xfId="0" applyBorder="1"/>
    <xf numFmtId="0" fontId="0" fillId="0" borderId="1" xfId="0" applyBorder="1"/>
    <xf numFmtId="0" fontId="0" fillId="0" borderId="8" xfId="0" applyBorder="1"/>
    <xf numFmtId="0" fontId="0" fillId="0" borderId="0" xfId="0" applyAlignment="1">
      <alignment horizontal="center"/>
    </xf>
    <xf numFmtId="2" fontId="0" fillId="2" borderId="10" xfId="0" applyNumberFormat="1" applyFill="1" applyBorder="1" applyAlignment="1" applyProtection="1">
      <alignment horizontal="center"/>
      <protection locked="0"/>
    </xf>
    <xf numFmtId="0" fontId="0" fillId="2" borderId="0" xfId="0" applyFill="1" applyAlignment="1" applyProtection="1">
      <alignment horizontal="center"/>
      <protection locked="0"/>
    </xf>
    <xf numFmtId="0" fontId="0" fillId="2" borderId="10"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7" fillId="0" borderId="0" xfId="0" applyFont="1" applyAlignment="1">
      <alignment horizontal="center"/>
    </xf>
    <xf numFmtId="0" fontId="0" fillId="0" borderId="0" xfId="0" applyAlignment="1">
      <alignment horizontal="left"/>
    </xf>
    <xf numFmtId="0" fontId="0" fillId="2" borderId="0" xfId="0" applyFill="1" applyAlignment="1">
      <alignment horizontal="center"/>
    </xf>
    <xf numFmtId="0" fontId="12" fillId="8" borderId="0" xfId="0" applyFont="1" applyFill="1" applyAlignment="1">
      <alignment horizontal="left" vertical="top" wrapText="1"/>
    </xf>
    <xf numFmtId="0" fontId="0" fillId="0" borderId="6" xfId="0" applyBorder="1" applyAlignment="1">
      <alignment horizontal="left" vertical="top" wrapText="1"/>
    </xf>
    <xf numFmtId="0" fontId="0" fillId="0" borderId="3" xfId="0" applyBorder="1" applyAlignment="1">
      <alignment horizontal="left" vertical="top" wrapText="1"/>
    </xf>
    <xf numFmtId="0" fontId="15" fillId="4"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95249</xdr:colOff>
      <xdr:row>2</xdr:row>
      <xdr:rowOff>38100</xdr:rowOff>
    </xdr:from>
    <xdr:to>
      <xdr:col>4</xdr:col>
      <xdr:colOff>217169</xdr:colOff>
      <xdr:row>15</xdr:row>
      <xdr:rowOff>121920</xdr:rowOff>
    </xdr:to>
    <xdr:sp macro="" textlink="">
      <xdr:nvSpPr>
        <xdr:cNvPr id="2" name="TextBox 1" descr="Blank field to place a professional engineer's stamp.">
          <a:extLst>
            <a:ext uri="{FF2B5EF4-FFF2-40B4-BE49-F238E27FC236}">
              <a16:creationId xmlns:a16="http://schemas.microsoft.com/office/drawing/2014/main" id="{2DCD4081-EBAF-4BF5-9914-30966556A7DD}"/>
            </a:ext>
          </a:extLst>
        </xdr:cNvPr>
        <xdr:cNvSpPr txBox="1"/>
      </xdr:nvSpPr>
      <xdr:spPr>
        <a:xfrm>
          <a:off x="95249" y="1676400"/>
          <a:ext cx="2560320" cy="2560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1</xdr:col>
      <xdr:colOff>47626</xdr:colOff>
      <xdr:row>32</xdr:row>
      <xdr:rowOff>19050</xdr:rowOff>
    </xdr:from>
    <xdr:to>
      <xdr:col>9</xdr:col>
      <xdr:colOff>47626</xdr:colOff>
      <xdr:row>43</xdr:row>
      <xdr:rowOff>180693</xdr:rowOff>
    </xdr:to>
    <xdr:pic>
      <xdr:nvPicPr>
        <xdr:cNvPr id="4" name="Picture 3" descr="A text box disclaimer warning users that this spreadsheet was developed specifically for use on ODOT projects. The spreadsheet can be used for other projects, too, but ODOT assumes no legal liability for those use cases.">
          <a:extLst>
            <a:ext uri="{FF2B5EF4-FFF2-40B4-BE49-F238E27FC236}">
              <a16:creationId xmlns:a16="http://schemas.microsoft.com/office/drawing/2014/main" id="{1B0C12C3-522F-4E06-A5F1-34DA74A44B82}"/>
            </a:ext>
          </a:extLst>
        </xdr:cNvPr>
        <xdr:cNvPicPr>
          <a:picLocks noChangeAspect="1"/>
        </xdr:cNvPicPr>
      </xdr:nvPicPr>
      <xdr:blipFill>
        <a:blip xmlns:r="http://schemas.openxmlformats.org/officeDocument/2006/relationships" r:embed="rId1"/>
        <a:stretch>
          <a:fillRect/>
        </a:stretch>
      </xdr:blipFill>
      <xdr:spPr>
        <a:xfrm>
          <a:off x="657226" y="6353175"/>
          <a:ext cx="4876800" cy="2257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2AD0E-4F34-438D-B713-B4371DED9A38}">
  <sheetPr codeName="Sheet1"/>
  <dimension ref="A1:M37"/>
  <sheetViews>
    <sheetView tabSelected="1" workbookViewId="0">
      <selection activeCell="C30" sqref="C30"/>
    </sheetView>
  </sheetViews>
  <sheetFormatPr defaultRowHeight="15" x14ac:dyDescent="0.25"/>
  <cols>
    <col min="3" max="3" width="9.140625" customWidth="1"/>
  </cols>
  <sheetData>
    <row r="1" spans="1:10" x14ac:dyDescent="0.25">
      <c r="A1" s="52" t="s">
        <v>119</v>
      </c>
      <c r="B1" s="52"/>
      <c r="C1" s="52"/>
      <c r="D1" s="52"/>
      <c r="E1" s="52"/>
      <c r="F1" s="52"/>
      <c r="G1" s="52"/>
      <c r="H1" s="52"/>
      <c r="I1" s="52"/>
      <c r="J1" s="42"/>
    </row>
    <row r="2" spans="1:10" x14ac:dyDescent="0.25">
      <c r="A2" s="48" t="s">
        <v>101</v>
      </c>
      <c r="B2" s="48"/>
      <c r="C2" s="42"/>
      <c r="D2" s="42"/>
      <c r="E2" s="42"/>
      <c r="F2" s="42"/>
      <c r="G2" s="42"/>
      <c r="H2" s="42"/>
      <c r="I2" s="42"/>
      <c r="J2" s="42"/>
    </row>
    <row r="3" spans="1:10" x14ac:dyDescent="0.25">
      <c r="A3" s="42"/>
      <c r="B3" s="42"/>
      <c r="C3" s="42"/>
      <c r="D3" s="42"/>
      <c r="E3" s="42"/>
      <c r="F3" s="42"/>
      <c r="G3" s="42"/>
      <c r="H3" s="42"/>
      <c r="I3" s="42"/>
      <c r="J3" s="42"/>
    </row>
    <row r="4" spans="1:10" ht="33.75" customHeight="1" x14ac:dyDescent="0.25">
      <c r="A4" s="42"/>
      <c r="B4" s="42"/>
      <c r="C4" s="42"/>
      <c r="D4" s="42"/>
      <c r="E4" s="42"/>
      <c r="F4" s="53" t="s">
        <v>104</v>
      </c>
      <c r="G4" s="53"/>
      <c r="H4" s="53"/>
      <c r="I4" s="53"/>
      <c r="J4" s="42"/>
    </row>
    <row r="5" spans="1:10" x14ac:dyDescent="0.25">
      <c r="A5" s="42"/>
      <c r="B5" s="42"/>
      <c r="C5" s="42"/>
      <c r="D5" s="42"/>
      <c r="E5" s="42"/>
      <c r="F5" s="48"/>
      <c r="G5" s="48"/>
      <c r="H5" s="48"/>
      <c r="I5" s="48"/>
      <c r="J5" s="42"/>
    </row>
    <row r="6" spans="1:10" x14ac:dyDescent="0.25">
      <c r="A6" s="42"/>
      <c r="B6" s="42"/>
      <c r="C6" s="42"/>
      <c r="D6" s="42"/>
      <c r="E6" s="42"/>
      <c r="F6" s="48" t="s">
        <v>105</v>
      </c>
      <c r="G6" s="48"/>
      <c r="H6" s="48"/>
      <c r="I6" s="48"/>
      <c r="J6" s="42"/>
    </row>
    <row r="7" spans="1:10" x14ac:dyDescent="0.25">
      <c r="A7" s="42"/>
      <c r="B7" s="42"/>
      <c r="C7" s="42"/>
      <c r="D7" s="42"/>
      <c r="E7" s="42"/>
      <c r="F7" s="49"/>
      <c r="G7" s="50"/>
      <c r="H7" s="50"/>
      <c r="I7" s="51"/>
      <c r="J7" s="42"/>
    </row>
    <row r="8" spans="1:10" x14ac:dyDescent="0.25">
      <c r="A8" s="42"/>
      <c r="B8" s="42"/>
      <c r="C8" s="42"/>
      <c r="D8" s="42"/>
      <c r="E8" s="42"/>
      <c r="F8" s="45"/>
      <c r="G8" s="46"/>
      <c r="H8" s="46"/>
      <c r="I8" s="47"/>
      <c r="J8" s="42"/>
    </row>
    <row r="9" spans="1:10" x14ac:dyDescent="0.25">
      <c r="A9" s="42"/>
      <c r="B9" s="42"/>
      <c r="C9" s="42"/>
      <c r="D9" s="42"/>
      <c r="E9" s="42"/>
      <c r="F9" s="48" t="s">
        <v>106</v>
      </c>
      <c r="G9" s="48"/>
      <c r="H9" s="48"/>
      <c r="I9" s="48"/>
      <c r="J9" s="42"/>
    </row>
    <row r="10" spans="1:10" x14ac:dyDescent="0.25">
      <c r="A10" s="42"/>
      <c r="B10" s="42"/>
      <c r="C10" s="42"/>
      <c r="D10" s="42"/>
      <c r="E10" s="42"/>
      <c r="F10" s="49"/>
      <c r="G10" s="50"/>
      <c r="H10" s="50"/>
      <c r="I10" s="51"/>
      <c r="J10" s="42"/>
    </row>
    <row r="11" spans="1:10" x14ac:dyDescent="0.25">
      <c r="A11" s="42"/>
      <c r="B11" s="42"/>
      <c r="C11" s="42"/>
      <c r="D11" s="42"/>
      <c r="E11" s="42"/>
      <c r="F11" s="45"/>
      <c r="G11" s="46"/>
      <c r="H11" s="46"/>
      <c r="I11" s="47"/>
      <c r="J11" s="42"/>
    </row>
    <row r="12" spans="1:10" x14ac:dyDescent="0.25">
      <c r="A12" s="42"/>
      <c r="B12" s="42"/>
      <c r="C12" s="42"/>
      <c r="D12" s="42"/>
      <c r="E12" s="42"/>
      <c r="F12" s="42"/>
      <c r="G12" s="42"/>
      <c r="H12" s="42"/>
      <c r="I12" s="42"/>
      <c r="J12" s="42"/>
    </row>
    <row r="13" spans="1:10" x14ac:dyDescent="0.25">
      <c r="F13" t="s">
        <v>113</v>
      </c>
    </row>
    <row r="14" spans="1:10" x14ac:dyDescent="0.25">
      <c r="F14" s="57"/>
      <c r="G14" s="58"/>
      <c r="H14" s="58"/>
      <c r="I14" s="59"/>
    </row>
    <row r="15" spans="1:10" x14ac:dyDescent="0.25">
      <c r="F15" s="60"/>
      <c r="G15" s="61"/>
      <c r="H15" s="61"/>
      <c r="I15" s="62"/>
    </row>
    <row r="18" spans="2:13" x14ac:dyDescent="0.25">
      <c r="B18" s="63" t="s">
        <v>108</v>
      </c>
      <c r="C18" s="63"/>
      <c r="D18" s="63"/>
      <c r="E18" s="63"/>
      <c r="F18" s="63"/>
      <c r="G18" s="63"/>
      <c r="H18" s="63"/>
    </row>
    <row r="20" spans="2:13" x14ac:dyDescent="0.25">
      <c r="B20" t="s">
        <v>109</v>
      </c>
      <c r="E20" s="54"/>
      <c r="F20" s="55"/>
      <c r="G20" s="55"/>
      <c r="H20" s="55"/>
      <c r="I20" s="56"/>
    </row>
    <row r="22" spans="2:13" x14ac:dyDescent="0.25">
      <c r="B22" t="s">
        <v>114</v>
      </c>
      <c r="E22" s="54"/>
      <c r="F22" s="55"/>
      <c r="G22" s="55"/>
      <c r="H22" s="55"/>
      <c r="I22" s="56"/>
    </row>
    <row r="24" spans="2:13" x14ac:dyDescent="0.25">
      <c r="B24" t="s">
        <v>110</v>
      </c>
      <c r="E24" s="54"/>
      <c r="F24" s="55"/>
      <c r="G24" s="55"/>
      <c r="H24" s="55"/>
      <c r="I24" s="56"/>
    </row>
    <row r="25" spans="2:13" x14ac:dyDescent="0.25">
      <c r="E25" s="54"/>
      <c r="F25" s="55"/>
      <c r="G25" s="55"/>
      <c r="H25" s="55"/>
      <c r="I25" s="56"/>
    </row>
    <row r="26" spans="2:13" x14ac:dyDescent="0.25">
      <c r="M26" s="43"/>
    </row>
    <row r="27" spans="2:13" x14ac:dyDescent="0.25">
      <c r="B27" t="s">
        <v>111</v>
      </c>
      <c r="E27" s="54"/>
      <c r="F27" s="55"/>
      <c r="G27" s="55"/>
      <c r="H27" s="55"/>
      <c r="I27" s="56"/>
      <c r="M27" s="43"/>
    </row>
    <row r="28" spans="2:13" x14ac:dyDescent="0.25">
      <c r="M28" s="43"/>
    </row>
    <row r="29" spans="2:13" x14ac:dyDescent="0.25">
      <c r="B29" t="s">
        <v>112</v>
      </c>
      <c r="E29" s="54"/>
      <c r="F29" s="55"/>
      <c r="G29" s="55"/>
      <c r="H29" s="55"/>
      <c r="I29" s="56"/>
      <c r="M29" s="43"/>
    </row>
    <row r="30" spans="2:13" x14ac:dyDescent="0.25">
      <c r="M30" s="43"/>
    </row>
    <row r="31" spans="2:13" x14ac:dyDescent="0.25">
      <c r="B31" t="s">
        <v>115</v>
      </c>
      <c r="M31" s="43"/>
    </row>
    <row r="32" spans="2:13" x14ac:dyDescent="0.25">
      <c r="E32" s="43"/>
    </row>
    <row r="33" spans="2:4" x14ac:dyDescent="0.25">
      <c r="B33" s="44"/>
    </row>
    <row r="37" spans="2:4" x14ac:dyDescent="0.25">
      <c r="D37" t="s">
        <v>116</v>
      </c>
    </row>
  </sheetData>
  <sheetProtection algorithmName="SHA-512" hashValue="xXbk33VVdxK6XLixhAzP6QWDpO6kUQCIei88oEpZF846gjuk+e4C9/dYtc3c7O7Ch9oFHG0K0YMdiOas+aPzag==" saltValue="R+ICPEqnR8TayyDysm/qaQ==" spinCount="100000" sheet="1" formatCells="0" formatColumns="0" formatRows="0" insertColumns="0" insertRows="0" insertHyperlinks="0" deleteColumns="0" deleteRows="0" sort="0" autoFilter="0" pivotTables="0"/>
  <protectedRanges>
    <protectedRange sqref="F7:I8 F10:I11 F14:I15 E20 E22 E24:I25 E27 E29" name="userEnteredValues"/>
  </protectedRanges>
  <mergeCells count="19">
    <mergeCell ref="E24:I24"/>
    <mergeCell ref="E25:I25"/>
    <mergeCell ref="E27:I27"/>
    <mergeCell ref="E29:I29"/>
    <mergeCell ref="F14:I14"/>
    <mergeCell ref="F15:I15"/>
    <mergeCell ref="B18:H18"/>
    <mergeCell ref="E20:I20"/>
    <mergeCell ref="E22:I22"/>
    <mergeCell ref="F8:I8"/>
    <mergeCell ref="F9:I9"/>
    <mergeCell ref="F10:I10"/>
    <mergeCell ref="A1:I1"/>
    <mergeCell ref="F11:I11"/>
    <mergeCell ref="A2:B2"/>
    <mergeCell ref="F4:I4"/>
    <mergeCell ref="F5:I5"/>
    <mergeCell ref="F6:I6"/>
    <mergeCell ref="F7:I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3:N38"/>
  <sheetViews>
    <sheetView showGridLines="0" showRowColHeaders="0" topLeftCell="B13" zoomScale="150" zoomScaleNormal="150" workbookViewId="0">
      <selection activeCell="L27" sqref="L27:M27"/>
    </sheetView>
  </sheetViews>
  <sheetFormatPr defaultRowHeight="15" x14ac:dyDescent="0.25"/>
  <cols>
    <col min="11" max="11" width="38.7109375" customWidth="1"/>
  </cols>
  <sheetData>
    <row r="3" spans="2:14" ht="31.5" x14ac:dyDescent="0.5">
      <c r="C3" s="11" t="s">
        <v>56</v>
      </c>
    </row>
    <row r="5" spans="2:14" x14ac:dyDescent="0.25">
      <c r="B5" t="s">
        <v>71</v>
      </c>
    </row>
    <row r="6" spans="2:14" ht="15.75" thickBot="1" x14ac:dyDescent="0.3">
      <c r="C6" s="35"/>
      <c r="D6" s="35"/>
      <c r="E6" s="35"/>
      <c r="F6" s="35"/>
      <c r="G6" s="35"/>
      <c r="H6" s="35"/>
      <c r="I6" s="35"/>
      <c r="J6" s="35"/>
      <c r="K6" s="35"/>
      <c r="L6" s="35"/>
      <c r="M6" s="35"/>
      <c r="N6" s="35"/>
    </row>
    <row r="7" spans="2:14" x14ac:dyDescent="0.25">
      <c r="B7" s="34"/>
      <c r="C7" t="s">
        <v>81</v>
      </c>
      <c r="L7" s="65" t="s">
        <v>1</v>
      </c>
      <c r="M7" s="65"/>
      <c r="N7" s="36"/>
    </row>
    <row r="8" spans="2:14" x14ac:dyDescent="0.25">
      <c r="B8" s="34"/>
      <c r="N8" s="34"/>
    </row>
    <row r="9" spans="2:14" x14ac:dyDescent="0.25">
      <c r="B9" s="34"/>
      <c r="C9" t="s">
        <v>72</v>
      </c>
      <c r="L9" s="65">
        <v>25</v>
      </c>
      <c r="M9" s="65"/>
      <c r="N9" s="34" t="s">
        <v>5</v>
      </c>
    </row>
    <row r="10" spans="2:14" x14ac:dyDescent="0.25">
      <c r="B10" s="34"/>
      <c r="N10" s="34"/>
    </row>
    <row r="11" spans="2:14" x14ac:dyDescent="0.25">
      <c r="B11" s="34"/>
      <c r="C11" t="s">
        <v>80</v>
      </c>
      <c r="L11" s="65">
        <v>1.1000000000000001</v>
      </c>
      <c r="M11" s="65"/>
      <c r="N11" s="34"/>
    </row>
    <row r="12" spans="2:14" x14ac:dyDescent="0.25">
      <c r="B12" s="34"/>
      <c r="N12" s="34"/>
    </row>
    <row r="13" spans="2:14" x14ac:dyDescent="0.25">
      <c r="B13" s="34"/>
      <c r="C13" t="s">
        <v>79</v>
      </c>
      <c r="L13" s="65">
        <v>6</v>
      </c>
      <c r="M13" s="65"/>
      <c r="N13" s="34" t="s">
        <v>19</v>
      </c>
    </row>
    <row r="14" spans="2:14" x14ac:dyDescent="0.25">
      <c r="B14" s="34"/>
      <c r="N14" s="34"/>
    </row>
    <row r="15" spans="2:14" x14ac:dyDescent="0.25">
      <c r="B15" s="34"/>
      <c r="C15" t="s">
        <v>78</v>
      </c>
      <c r="L15" s="65">
        <v>120</v>
      </c>
      <c r="M15" s="65"/>
      <c r="N15" s="34" t="s">
        <v>6</v>
      </c>
    </row>
    <row r="16" spans="2:14" x14ac:dyDescent="0.25">
      <c r="B16" s="34"/>
      <c r="N16" s="34"/>
    </row>
    <row r="17" spans="2:14" x14ac:dyDescent="0.25">
      <c r="B17" s="34"/>
      <c r="C17" t="s">
        <v>77</v>
      </c>
      <c r="L17" s="65">
        <v>240</v>
      </c>
      <c r="M17" s="65"/>
      <c r="N17" s="34" t="s">
        <v>9</v>
      </c>
    </row>
    <row r="18" spans="2:14" x14ac:dyDescent="0.25">
      <c r="B18" s="34"/>
      <c r="N18" s="34"/>
    </row>
    <row r="19" spans="2:14" x14ac:dyDescent="0.25">
      <c r="B19" s="34"/>
      <c r="C19" t="s">
        <v>73</v>
      </c>
      <c r="L19" s="65">
        <v>1</v>
      </c>
      <c r="M19" s="65"/>
      <c r="N19" s="34"/>
    </row>
    <row r="20" spans="2:14" x14ac:dyDescent="0.25">
      <c r="B20" s="34"/>
      <c r="N20" s="34"/>
    </row>
    <row r="21" spans="2:14" ht="15.75" thickBot="1" x14ac:dyDescent="0.3">
      <c r="B21" s="34"/>
      <c r="C21" s="35" t="s">
        <v>76</v>
      </c>
      <c r="D21" s="35"/>
      <c r="E21" s="35"/>
      <c r="F21" s="35"/>
      <c r="G21" s="35"/>
      <c r="H21" s="35"/>
      <c r="I21" s="35"/>
      <c r="J21" s="35"/>
      <c r="K21" s="35"/>
      <c r="L21" s="66">
        <v>13</v>
      </c>
      <c r="M21" s="66"/>
      <c r="N21" s="37" t="s">
        <v>35</v>
      </c>
    </row>
    <row r="22" spans="2:14" ht="15.75" thickBot="1" x14ac:dyDescent="0.3"/>
    <row r="23" spans="2:14" x14ac:dyDescent="0.25">
      <c r="C23" s="38" t="s">
        <v>75</v>
      </c>
      <c r="D23" s="39"/>
      <c r="E23" s="39"/>
      <c r="F23" s="39"/>
      <c r="G23" s="39"/>
      <c r="H23" s="39"/>
      <c r="I23" s="39"/>
      <c r="J23" s="39"/>
      <c r="K23" s="39"/>
      <c r="L23" s="67" t="s">
        <v>38</v>
      </c>
      <c r="M23" s="67"/>
      <c r="N23" s="36"/>
    </row>
    <row r="24" spans="2:14" x14ac:dyDescent="0.25">
      <c r="C24" s="40"/>
      <c r="N24" s="34"/>
    </row>
    <row r="25" spans="2:14" x14ac:dyDescent="0.25">
      <c r="C25" s="40" t="s">
        <v>74</v>
      </c>
      <c r="L25" s="65" t="s">
        <v>43</v>
      </c>
      <c r="M25" s="65"/>
      <c r="N25" s="34"/>
    </row>
    <row r="26" spans="2:14" x14ac:dyDescent="0.25">
      <c r="C26" s="40"/>
      <c r="N26" s="34"/>
    </row>
    <row r="27" spans="2:14" x14ac:dyDescent="0.25">
      <c r="C27" s="40" t="s">
        <v>118</v>
      </c>
      <c r="L27" s="65">
        <v>2</v>
      </c>
      <c r="M27" s="65"/>
      <c r="N27" s="34" t="s">
        <v>47</v>
      </c>
    </row>
    <row r="28" spans="2:14" x14ac:dyDescent="0.25">
      <c r="C28" s="40"/>
      <c r="N28" s="34"/>
    </row>
    <row r="29" spans="2:14" x14ac:dyDescent="0.25">
      <c r="C29" s="40" t="s">
        <v>82</v>
      </c>
      <c r="L29" s="65">
        <v>400</v>
      </c>
      <c r="M29" s="65"/>
      <c r="N29" s="34" t="s">
        <v>35</v>
      </c>
    </row>
    <row r="30" spans="2:14" x14ac:dyDescent="0.25">
      <c r="C30" s="40"/>
      <c r="N30" s="34"/>
    </row>
    <row r="31" spans="2:14" ht="15.75" thickBot="1" x14ac:dyDescent="0.3">
      <c r="C31" s="41" t="s">
        <v>99</v>
      </c>
      <c r="D31" s="35"/>
      <c r="E31" s="35"/>
      <c r="F31" s="35"/>
      <c r="G31" s="35"/>
      <c r="H31" s="35"/>
      <c r="I31" s="35"/>
      <c r="J31" s="35"/>
      <c r="K31" s="35"/>
      <c r="L31" s="64">
        <v>1.5</v>
      </c>
      <c r="M31" s="64"/>
      <c r="N31" s="37"/>
    </row>
    <row r="33" spans="2:3" x14ac:dyDescent="0.25">
      <c r="B33" t="s">
        <v>83</v>
      </c>
    </row>
    <row r="34" spans="2:3" x14ac:dyDescent="0.25">
      <c r="C34" t="s">
        <v>89</v>
      </c>
    </row>
    <row r="35" spans="2:3" x14ac:dyDescent="0.25">
      <c r="C35" t="s">
        <v>90</v>
      </c>
    </row>
    <row r="37" spans="2:3" x14ac:dyDescent="0.25">
      <c r="C37" t="s">
        <v>88</v>
      </c>
    </row>
    <row r="38" spans="2:3" x14ac:dyDescent="0.25">
      <c r="C38" t="s">
        <v>87</v>
      </c>
    </row>
  </sheetData>
  <sheetProtection algorithmName="SHA-512" hashValue="Jx5e5P/IlsQ+of9XbgGi7nd72RWHFBuw2T6FL/tePBMjvEgHoB/Rnpa8L5iB+9nlqrJ5IlV6bedZ3aXgDT+lFw==" saltValue="q9McP6Q/YQMHANzfVqjGNA==" spinCount="100000" sheet="1" objects="1" scenarios="1"/>
  <mergeCells count="13">
    <mergeCell ref="L31:M31"/>
    <mergeCell ref="L29:M29"/>
    <mergeCell ref="L7:M7"/>
    <mergeCell ref="L9:M9"/>
    <mergeCell ref="L11:M11"/>
    <mergeCell ref="L13:M13"/>
    <mergeCell ref="L15:M15"/>
    <mergeCell ref="L17:M17"/>
    <mergeCell ref="L19:M19"/>
    <mergeCell ref="L21:M21"/>
    <mergeCell ref="L23:M23"/>
    <mergeCell ref="L25:M25"/>
    <mergeCell ref="L27:M27"/>
  </mergeCells>
  <dataValidations count="1">
    <dataValidation type="decimal" allowBlank="1" showInputMessage="1" showErrorMessage="1" errorTitle="Warning!" error="The calculation factor must be between 1.00 and 1.90. (These values are obtained from the table located in IEEE 1584-2002 9.11.3.)" sqref="L31:M31" xr:uid="{00000000-0002-0000-0000-000000000000}">
      <formula1>1</formula1>
      <formula2>1.9</formula2>
    </dataValidation>
  </dataValidations>
  <pageMargins left="0.25" right="0.25" top="0.75" bottom="0.75" header="0.3" footer="0.3"/>
  <pageSetup scale="84"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Calcs!$A$7:$A$8</xm:f>
          </x14:formula1>
          <xm:sqref>L7:M7</xm:sqref>
        </x14:dataValidation>
        <x14:dataValidation type="list" allowBlank="1" showInputMessage="1" showErrorMessage="1" xr:uid="{00000000-0002-0000-0000-000002000000}">
          <x14:formula1>
            <xm:f>Calcs!$D$32:$D$42</xm:f>
          </x14:formula1>
          <xm:sqref>L13:M13</xm:sqref>
        </x14:dataValidation>
        <x14:dataValidation type="list" allowBlank="1" showInputMessage="1" showErrorMessage="1" xr:uid="{00000000-0002-0000-0000-000003000000}">
          <x14:formula1>
            <xm:f>Calcs!$K$8:$K$9</xm:f>
          </x14:formula1>
          <xm:sqref>L23:M23</xm:sqref>
        </x14:dataValidation>
        <x14:dataValidation type="list" allowBlank="1" showInputMessage="1" showErrorMessage="1" xr:uid="{00000000-0002-0000-0000-000004000000}">
          <x14:formula1>
            <xm:f>Calcs!$K$10:$K$11</xm:f>
          </x14:formula1>
          <xm:sqref>L25:M25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35"/>
  <sheetViews>
    <sheetView showGridLines="0" showRowColHeaders="0" zoomScale="120" zoomScaleNormal="120" workbookViewId="0">
      <selection activeCell="M32" sqref="M32:N32"/>
    </sheetView>
  </sheetViews>
  <sheetFormatPr defaultRowHeight="15" x14ac:dyDescent="0.25"/>
  <cols>
    <col min="2" max="2" width="9.140625" customWidth="1"/>
    <col min="9" max="9" width="9.5703125" bestFit="1" customWidth="1"/>
  </cols>
  <sheetData>
    <row r="1" spans="1:17" ht="36.75" customHeight="1" x14ac:dyDescent="0.4">
      <c r="H1" s="7" t="s">
        <v>107</v>
      </c>
    </row>
    <row r="4" spans="1:17" hidden="1" x14ac:dyDescent="0.25">
      <c r="A4" s="63" t="s">
        <v>59</v>
      </c>
      <c r="B4" s="63"/>
      <c r="C4" s="63"/>
      <c r="D4" s="63"/>
      <c r="E4" s="63"/>
      <c r="F4" s="63"/>
      <c r="G4" s="63"/>
      <c r="H4" s="63"/>
      <c r="I4" s="63"/>
      <c r="J4" s="63"/>
      <c r="K4" s="63"/>
      <c r="L4" s="63"/>
      <c r="M4" s="63"/>
    </row>
    <row r="5" spans="1:17" hidden="1" x14ac:dyDescent="0.25"/>
    <row r="6" spans="1:17" hidden="1" x14ac:dyDescent="0.25"/>
    <row r="7" spans="1:17" hidden="1" x14ac:dyDescent="0.25">
      <c r="B7" s="69" t="s">
        <v>33</v>
      </c>
      <c r="C7" s="69"/>
      <c r="D7" s="69"/>
      <c r="E7" s="69"/>
      <c r="F7" s="63" t="s">
        <v>3</v>
      </c>
      <c r="G7" s="63"/>
      <c r="H7" s="63"/>
      <c r="J7" s="63" t="s">
        <v>2</v>
      </c>
      <c r="K7" s="63"/>
      <c r="L7" s="63"/>
      <c r="M7" s="63"/>
      <c r="N7" t="s">
        <v>18</v>
      </c>
    </row>
    <row r="8" spans="1:17" hidden="1" x14ac:dyDescent="0.25">
      <c r="B8" s="65" t="str">
        <f>'Data Entry'!L7</f>
        <v>1-phase</v>
      </c>
      <c r="C8" s="65"/>
      <c r="D8" s="65"/>
      <c r="F8" s="65">
        <f>'Data Entry'!L9</f>
        <v>25</v>
      </c>
      <c r="G8" s="65"/>
      <c r="H8" s="65"/>
      <c r="I8" t="s">
        <v>5</v>
      </c>
      <c r="K8" s="65">
        <f>'Data Entry'!L11</f>
        <v>1.1000000000000001</v>
      </c>
      <c r="L8" s="65"/>
      <c r="O8" s="65">
        <f>'Data Entry'!L13</f>
        <v>6</v>
      </c>
      <c r="P8" s="65"/>
      <c r="Q8" t="s">
        <v>19</v>
      </c>
    </row>
    <row r="9" spans="1:17" hidden="1" x14ac:dyDescent="0.25"/>
    <row r="10" spans="1:17" hidden="1" x14ac:dyDescent="0.25"/>
    <row r="11" spans="1:17" hidden="1" x14ac:dyDescent="0.25">
      <c r="B11" t="s">
        <v>4</v>
      </c>
      <c r="H11" t="s">
        <v>8</v>
      </c>
      <c r="M11" t="s">
        <v>21</v>
      </c>
    </row>
    <row r="12" spans="1:17" hidden="1" x14ac:dyDescent="0.25">
      <c r="C12" s="65">
        <f>'Data Entry'!L15</f>
        <v>120</v>
      </c>
      <c r="D12" s="65"/>
      <c r="E12" t="s">
        <v>6</v>
      </c>
      <c r="I12" s="65">
        <f>'Data Entry'!L17</f>
        <v>240</v>
      </c>
      <c r="J12" s="65"/>
      <c r="K12" t="s">
        <v>9</v>
      </c>
      <c r="N12" s="1">
        <f>'Data Entry'!L19</f>
        <v>1</v>
      </c>
    </row>
    <row r="13" spans="1:17" hidden="1" x14ac:dyDescent="0.25"/>
    <row r="14" spans="1:17" hidden="1" x14ac:dyDescent="0.25"/>
    <row r="15" spans="1:17" hidden="1" x14ac:dyDescent="0.25">
      <c r="B15" t="s">
        <v>34</v>
      </c>
      <c r="J15" t="s">
        <v>36</v>
      </c>
      <c r="N15" t="s">
        <v>42</v>
      </c>
    </row>
    <row r="16" spans="1:17" hidden="1" x14ac:dyDescent="0.25">
      <c r="D16" s="70">
        <f>'Data Entry'!L21</f>
        <v>13</v>
      </c>
      <c r="E16" s="70"/>
      <c r="F16" t="s">
        <v>35</v>
      </c>
      <c r="J16" s="70" t="str">
        <f>'Data Entry'!L23</f>
        <v>boxed</v>
      </c>
      <c r="K16" s="70"/>
      <c r="O16" s="70" t="str">
        <f>'Data Entry'!L25</f>
        <v>grounded</v>
      </c>
      <c r="P16" s="70"/>
    </row>
    <row r="17" spans="2:20" hidden="1" x14ac:dyDescent="0.25"/>
    <row r="18" spans="2:20" hidden="1" x14ac:dyDescent="0.25"/>
    <row r="19" spans="2:20" hidden="1" x14ac:dyDescent="0.25">
      <c r="B19" t="s">
        <v>46</v>
      </c>
      <c r="H19" t="s">
        <v>48</v>
      </c>
    </row>
    <row r="20" spans="2:20" hidden="1" x14ac:dyDescent="0.25">
      <c r="C20" s="70">
        <f>'Data Entry'!L27</f>
        <v>2</v>
      </c>
      <c r="D20" s="70"/>
      <c r="E20" t="s">
        <v>47</v>
      </c>
      <c r="I20" s="70">
        <f>'Data Entry'!L29</f>
        <v>400</v>
      </c>
      <c r="J20" s="70"/>
      <c r="K20" t="s">
        <v>35</v>
      </c>
    </row>
    <row r="21" spans="2:20" x14ac:dyDescent="0.25">
      <c r="B21" s="27"/>
      <c r="C21" s="13"/>
      <c r="D21" s="13"/>
      <c r="E21" s="13"/>
      <c r="F21" s="13"/>
      <c r="G21" s="13"/>
      <c r="H21" s="13"/>
      <c r="I21" s="13"/>
      <c r="J21" s="13"/>
      <c r="K21" s="13"/>
      <c r="L21" s="13"/>
      <c r="M21" s="13"/>
      <c r="N21" s="13"/>
      <c r="O21" s="13"/>
      <c r="P21" s="13"/>
      <c r="Q21" s="13"/>
      <c r="R21" s="13"/>
      <c r="S21" s="13"/>
      <c r="T21" s="14"/>
    </row>
    <row r="22" spans="2:20" x14ac:dyDescent="0.25">
      <c r="B22" s="16"/>
      <c r="T22" s="15"/>
    </row>
    <row r="23" spans="2:20" x14ac:dyDescent="0.25">
      <c r="B23" s="16"/>
      <c r="T23" s="15"/>
    </row>
    <row r="24" spans="2:20" ht="26.25" x14ac:dyDescent="0.4">
      <c r="B24" s="28" t="s">
        <v>31</v>
      </c>
      <c r="J24" s="68" t="str">
        <f>TEXT(Calcs!D14,0)</f>
        <v>10522</v>
      </c>
      <c r="K24" s="68"/>
      <c r="L24" s="6" t="s">
        <v>10</v>
      </c>
      <c r="M24" s="18" t="str">
        <f>IF(B8="3-phase","line-line-line.","line-line")</f>
        <v>line-line</v>
      </c>
      <c r="O24" s="19" t="str">
        <f>IF(B8="1-phase"," and "," ")</f>
        <v xml:space="preserve"> and </v>
      </c>
      <c r="P24" s="6" t="str">
        <f>IF(B8="1-phase",TEXT(Calcs!D15,"0.0")," ")</f>
        <v>15782.8</v>
      </c>
      <c r="R24" s="6" t="str">
        <f>IF(B8="1-phase","A"," ")</f>
        <v>A</v>
      </c>
      <c r="S24" s="18" t="str">
        <f>IF(B8="1-phase","line-neutral."," ")</f>
        <v>line-neutral.</v>
      </c>
      <c r="T24" s="15"/>
    </row>
    <row r="25" spans="2:20" x14ac:dyDescent="0.25">
      <c r="B25" s="16"/>
      <c r="T25" s="15"/>
    </row>
    <row r="26" spans="2:20" ht="26.25" x14ac:dyDescent="0.4">
      <c r="B26" s="28" t="s">
        <v>32</v>
      </c>
      <c r="I26" s="20" t="str">
        <f>IF(B8="3-phase",TEXT(Calcs!D25,0),TEXT(Calcs!D26,0))</f>
        <v>1971</v>
      </c>
      <c r="J26" s="6" t="s">
        <v>10</v>
      </c>
      <c r="K26" s="21" t="str">
        <f>IF(B8="3-phase","line-line-line.","line-line")</f>
        <v>line-line</v>
      </c>
      <c r="M26" s="17" t="str">
        <f>IF(B8="1-phase"," and"," ")</f>
        <v xml:space="preserve"> and</v>
      </c>
      <c r="N26" s="20" t="str">
        <f>IF(B8="1-phase",TEXT(Calcs!D27,"0.0")," ")</f>
        <v>1126.0</v>
      </c>
      <c r="O26" s="22"/>
      <c r="P26" s="6" t="str">
        <f>IF(B8="1-phase","A"," ")</f>
        <v>A</v>
      </c>
      <c r="Q26" s="18" t="str">
        <f>IF(B8="1-phase","line-neutral."," ")</f>
        <v>line-neutral.</v>
      </c>
      <c r="T26" s="15"/>
    </row>
    <row r="27" spans="2:20" x14ac:dyDescent="0.25">
      <c r="B27" s="16"/>
      <c r="T27" s="15"/>
    </row>
    <row r="28" spans="2:20" ht="26.25" x14ac:dyDescent="0.4">
      <c r="B28" s="16" t="s">
        <v>70</v>
      </c>
      <c r="F28" s="20">
        <f>IF(B8="3-phase",Calcs!L25,Calcs!N25)</f>
        <v>1.0898940268871302</v>
      </c>
      <c r="G28" s="20" t="s">
        <v>117</v>
      </c>
      <c r="H28" s="18" t="str">
        <f>IF(B8="3-phase","line-line-line.","line-line")</f>
        <v>line-line</v>
      </c>
      <c r="J28" s="17" t="str">
        <f>IF(B8="1-phase","and"," ")</f>
        <v>and</v>
      </c>
      <c r="K28" s="20">
        <f>IF(B8="1-phase",Calcs!P25," ")</f>
        <v>0.68929738546161801</v>
      </c>
      <c r="L28" s="20" t="str">
        <f>IF(B8="1-phase","kA"," ")</f>
        <v>kA</v>
      </c>
      <c r="M28" s="18" t="str">
        <f>IF(B8="1-phase","line-neutral."," ")</f>
        <v>line-neutral.</v>
      </c>
      <c r="T28" s="15"/>
    </row>
    <row r="29" spans="2:20" x14ac:dyDescent="0.25">
      <c r="B29" s="16"/>
      <c r="T29" s="15"/>
    </row>
    <row r="30" spans="2:20" ht="26.25" x14ac:dyDescent="0.4">
      <c r="B30" s="28" t="s">
        <v>84</v>
      </c>
      <c r="F30" s="20">
        <f>IF(B8="3-phase",Calcs!L38,Calcs!N38)</f>
        <v>12.79057960249367</v>
      </c>
      <c r="G30" s="23" t="s">
        <v>85</v>
      </c>
      <c r="I30" s="24" t="str">
        <f>IF(B8="3-phase","line-line-line","line-line and")</f>
        <v>line-line and</v>
      </c>
      <c r="J30" s="17"/>
      <c r="K30" s="20">
        <f>IF(B8="1-phase",Calcs!P38," ")</f>
        <v>7.7946280259926715</v>
      </c>
      <c r="L30" s="23" t="str">
        <f>IF(B8="1-phase","cal/cm^2"," ")</f>
        <v>cal/cm^2</v>
      </c>
      <c r="N30" s="18" t="str">
        <f>IF(B8="1-phase","line-neutral."," ")</f>
        <v>line-neutral.</v>
      </c>
      <c r="T30" s="15"/>
    </row>
    <row r="31" spans="2:20" x14ac:dyDescent="0.25">
      <c r="B31" s="16"/>
      <c r="T31" s="15"/>
    </row>
    <row r="32" spans="2:20" ht="36" x14ac:dyDescent="0.55000000000000004">
      <c r="B32" s="28" t="s">
        <v>86</v>
      </c>
      <c r="M32" s="74">
        <f>IF(F30&lt;=1.2,"below 1",IF(F30&lt;=4,1,IF(F30&lt;=8,2,IF(F30&lt;=25,3,4))))</f>
        <v>3</v>
      </c>
      <c r="N32" s="74"/>
      <c r="T32" s="15"/>
    </row>
    <row r="33" spans="2:20" x14ac:dyDescent="0.25">
      <c r="B33" s="16"/>
      <c r="T33" s="15"/>
    </row>
    <row r="34" spans="2:20" x14ac:dyDescent="0.25">
      <c r="B34" s="16"/>
      <c r="T34" s="15"/>
    </row>
    <row r="35" spans="2:20" x14ac:dyDescent="0.25">
      <c r="B35" s="25"/>
      <c r="C35" s="2"/>
      <c r="D35" s="2"/>
      <c r="E35" s="2"/>
      <c r="F35" s="2"/>
      <c r="G35" s="2"/>
      <c r="H35" s="2"/>
      <c r="I35" s="2"/>
      <c r="J35" s="2"/>
      <c r="K35" s="2"/>
      <c r="L35" s="2"/>
      <c r="M35" s="2"/>
      <c r="N35" s="2"/>
      <c r="O35" s="2"/>
      <c r="P35" s="2"/>
      <c r="Q35" s="2"/>
      <c r="R35" s="2"/>
      <c r="S35" s="2"/>
      <c r="T35" s="26"/>
    </row>
  </sheetData>
  <sheetProtection algorithmName="SHA-512" hashValue="fkmB/W4DE1O2bHLGMN1moY1A0AgsTZgQG4wgw+QmDvZFSOlcQ4ffygACbDa4JrZmy5r0UVQBvSdXEukthvvVqQ==" saltValue="qfToRXtrWJoVjXYRIMm57w==" spinCount="100000" sheet="1" formatCells="0" formatColumns="0" formatRows="0" insertColumns="0" insertRows="0" insertHyperlinks="0" deleteColumns="0" deleteRows="0" sort="0" autoFilter="0" pivotTables="0"/>
  <mergeCells count="17">
    <mergeCell ref="O8:P8"/>
    <mergeCell ref="B8:D8"/>
    <mergeCell ref="F7:H7"/>
    <mergeCell ref="F8:H8"/>
    <mergeCell ref="J7:M7"/>
    <mergeCell ref="K8:L8"/>
    <mergeCell ref="O16:P16"/>
    <mergeCell ref="C20:D20"/>
    <mergeCell ref="I20:J20"/>
    <mergeCell ref="C12:D12"/>
    <mergeCell ref="I12:J12"/>
    <mergeCell ref="A4:M4"/>
    <mergeCell ref="M32:N32"/>
    <mergeCell ref="J24:K24"/>
    <mergeCell ref="B7:E7"/>
    <mergeCell ref="D16:E16"/>
    <mergeCell ref="J16:K16"/>
  </mergeCells>
  <pageMargins left="0.7" right="0.7" top="0.75" bottom="0.75" header="0.3" footer="0.3"/>
  <pageSetup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U42"/>
  <sheetViews>
    <sheetView workbookViewId="0">
      <selection activeCell="H16" sqref="H16"/>
    </sheetView>
  </sheetViews>
  <sheetFormatPr defaultRowHeight="15" x14ac:dyDescent="0.25"/>
  <cols>
    <col min="1" max="1" width="9.140625" customWidth="1"/>
    <col min="4" max="4" width="9.5703125" bestFit="1" customWidth="1"/>
    <col min="9" max="9" width="55" customWidth="1"/>
    <col min="10" max="10" width="9.140625" style="33"/>
    <col min="11" max="11" width="27.42578125" customWidth="1"/>
    <col min="16" max="16" width="12" bestFit="1" customWidth="1"/>
    <col min="20" max="20" width="12" bestFit="1" customWidth="1"/>
  </cols>
  <sheetData>
    <row r="1" spans="1:17" ht="15.75" customHeight="1" x14ac:dyDescent="0.25">
      <c r="A1" s="71" t="s">
        <v>102</v>
      </c>
      <c r="B1" s="71"/>
      <c r="C1" s="71"/>
      <c r="D1" s="71"/>
      <c r="E1" s="71"/>
      <c r="F1" s="71"/>
      <c r="K1" s="71" t="s">
        <v>103</v>
      </c>
      <c r="L1" s="71"/>
      <c r="M1" s="71"/>
    </row>
    <row r="2" spans="1:17" x14ac:dyDescent="0.25">
      <c r="A2" s="71"/>
      <c r="B2" s="71"/>
      <c r="C2" s="71"/>
      <c r="D2" s="71"/>
      <c r="E2" s="71"/>
      <c r="F2" s="71"/>
      <c r="K2" s="71"/>
      <c r="L2" s="71"/>
      <c r="M2" s="71"/>
    </row>
    <row r="3" spans="1:17" x14ac:dyDescent="0.25">
      <c r="A3" s="71"/>
      <c r="B3" s="71"/>
      <c r="C3" s="71"/>
      <c r="D3" s="71"/>
      <c r="E3" s="71"/>
      <c r="F3" s="71"/>
      <c r="K3" s="71"/>
      <c r="L3" s="71"/>
      <c r="M3" s="71"/>
    </row>
    <row r="4" spans="1:17" x14ac:dyDescent="0.25">
      <c r="A4" s="71"/>
      <c r="B4" s="71"/>
      <c r="C4" s="71"/>
      <c r="D4" s="71"/>
      <c r="E4" s="71"/>
      <c r="F4" s="71"/>
      <c r="K4" s="71"/>
      <c r="L4" s="71"/>
      <c r="M4" s="71"/>
    </row>
    <row r="5" spans="1:17" x14ac:dyDescent="0.25">
      <c r="A5" s="71"/>
      <c r="B5" s="71"/>
      <c r="C5" s="71"/>
      <c r="D5" s="71"/>
      <c r="E5" s="71"/>
      <c r="F5" s="71"/>
      <c r="K5" s="71"/>
      <c r="L5" s="71"/>
      <c r="M5" s="71"/>
    </row>
    <row r="6" spans="1:17" x14ac:dyDescent="0.25">
      <c r="K6" s="71"/>
      <c r="L6" s="71"/>
      <c r="M6" s="71"/>
    </row>
    <row r="7" spans="1:17" x14ac:dyDescent="0.25">
      <c r="A7" t="s">
        <v>0</v>
      </c>
      <c r="C7">
        <f>Results!O8</f>
        <v>6</v>
      </c>
      <c r="D7" s="4" t="s">
        <v>20</v>
      </c>
      <c r="E7">
        <f>VLOOKUP(C7,D32:E42,2,FALSE)</f>
        <v>2425</v>
      </c>
      <c r="G7" s="4" t="s">
        <v>22</v>
      </c>
      <c r="H7">
        <f>Results!N12</f>
        <v>1</v>
      </c>
      <c r="I7" t="s">
        <v>91</v>
      </c>
    </row>
    <row r="8" spans="1:17" x14ac:dyDescent="0.25">
      <c r="A8" t="s">
        <v>1</v>
      </c>
      <c r="K8" t="s">
        <v>37</v>
      </c>
      <c r="L8" s="4" t="s">
        <v>39</v>
      </c>
      <c r="M8">
        <f>IF(Results!J16="open",-0.153,-0.097)</f>
        <v>-9.7000000000000003E-2</v>
      </c>
      <c r="P8">
        <v>0.66200000000000003</v>
      </c>
    </row>
    <row r="9" spans="1:17" ht="30" customHeight="1" x14ac:dyDescent="0.25">
      <c r="A9" s="9"/>
      <c r="B9" s="9"/>
      <c r="C9" s="9"/>
      <c r="D9" s="9"/>
      <c r="E9" s="9"/>
      <c r="F9" s="9"/>
      <c r="G9" s="9"/>
      <c r="H9" s="9"/>
      <c r="K9" t="s">
        <v>38</v>
      </c>
      <c r="L9" s="4" t="s">
        <v>40</v>
      </c>
      <c r="M9">
        <f>IF(Results!J16="open",-0.792,-0.555)</f>
        <v>-0.55500000000000005</v>
      </c>
      <c r="P9">
        <v>9.6600000000000005E-2</v>
      </c>
    </row>
    <row r="10" spans="1:17" x14ac:dyDescent="0.25">
      <c r="A10" s="29" t="s">
        <v>7</v>
      </c>
      <c r="B10" s="29"/>
      <c r="C10" s="29"/>
      <c r="D10" s="29">
        <f>IF(Results!B8="3-phase",(Results!F8*1000)/(Results!I12*1.732),(Results!F8*1000)/Results!I12)</f>
        <v>104.16666666666667</v>
      </c>
      <c r="E10" s="29" t="s">
        <v>10</v>
      </c>
      <c r="F10" s="29"/>
      <c r="G10" s="29"/>
      <c r="H10" s="29"/>
      <c r="I10" s="53" t="s">
        <v>97</v>
      </c>
      <c r="K10" t="s">
        <v>43</v>
      </c>
      <c r="L10" s="4" t="s">
        <v>41</v>
      </c>
      <c r="M10">
        <f>IF(Results!O16="grounded",-0.113,0)</f>
        <v>-0.113</v>
      </c>
      <c r="P10">
        <v>5.2599999999999999E-4</v>
      </c>
    </row>
    <row r="11" spans="1:17" x14ac:dyDescent="0.25">
      <c r="A11" s="9"/>
      <c r="B11" s="9"/>
      <c r="C11" s="9"/>
      <c r="D11" s="9"/>
      <c r="E11" s="9"/>
      <c r="F11" s="9"/>
      <c r="G11" s="9"/>
      <c r="H11" s="9"/>
      <c r="I11" s="48"/>
      <c r="K11" t="s">
        <v>44</v>
      </c>
      <c r="L11" s="4" t="s">
        <v>45</v>
      </c>
      <c r="M11">
        <f>IF(Results!I12&lt;1000,1.5,1)</f>
        <v>1.5</v>
      </c>
      <c r="P11">
        <v>0.55879999999999996</v>
      </c>
    </row>
    <row r="12" spans="1:17" x14ac:dyDescent="0.25">
      <c r="A12" s="29" t="s">
        <v>11</v>
      </c>
      <c r="B12" s="29"/>
      <c r="C12" s="29"/>
      <c r="D12" s="29">
        <f>100/(Results!K8*0.9)</f>
        <v>101.010101010101</v>
      </c>
      <c r="E12" s="29"/>
      <c r="F12" s="29"/>
      <c r="G12" s="29"/>
      <c r="H12" s="29"/>
      <c r="I12" s="73" t="s">
        <v>92</v>
      </c>
      <c r="L12" s="4" t="s">
        <v>49</v>
      </c>
      <c r="M12">
        <f>Results!I12</f>
        <v>240</v>
      </c>
      <c r="N12" t="s">
        <v>51</v>
      </c>
      <c r="P12">
        <v>-3.0400000000000002E-3</v>
      </c>
    </row>
    <row r="13" spans="1:17" x14ac:dyDescent="0.25">
      <c r="A13" s="30"/>
      <c r="B13" s="30"/>
      <c r="C13" s="30"/>
      <c r="D13" s="30"/>
      <c r="E13" s="30"/>
      <c r="F13" s="30"/>
      <c r="G13" s="30"/>
      <c r="H13" s="30"/>
      <c r="I13" s="46"/>
      <c r="L13" s="4" t="s">
        <v>49</v>
      </c>
      <c r="M13">
        <f>IF(Results!B8="1-phase",Results!I12/2," ")</f>
        <v>120</v>
      </c>
      <c r="N13" t="s">
        <v>50</v>
      </c>
    </row>
    <row r="14" spans="1:17" x14ac:dyDescent="0.25">
      <c r="A14" s="29" t="s">
        <v>12</v>
      </c>
      <c r="B14" s="29"/>
      <c r="C14" s="29"/>
      <c r="D14" s="31">
        <f>D10*D12</f>
        <v>10521.885521885521</v>
      </c>
      <c r="E14" s="29" t="s">
        <v>14</v>
      </c>
      <c r="F14" s="29"/>
      <c r="G14" s="29"/>
      <c r="H14" s="29"/>
      <c r="I14" s="73" t="s">
        <v>93</v>
      </c>
    </row>
    <row r="15" spans="1:17" x14ac:dyDescent="0.25">
      <c r="A15" s="9"/>
      <c r="B15" s="9" t="s">
        <v>13</v>
      </c>
      <c r="C15" s="9"/>
      <c r="D15" s="32">
        <f>IF(Results!B8="1-phase",Calcs!D14*1.5," ")</f>
        <v>15782.828282828281</v>
      </c>
      <c r="E15" s="9" t="s">
        <v>15</v>
      </c>
      <c r="F15" s="9"/>
      <c r="G15" s="9"/>
      <c r="H15" s="9"/>
      <c r="I15" s="48"/>
      <c r="K15" t="s">
        <v>58</v>
      </c>
    </row>
    <row r="16" spans="1:17" ht="62.25" customHeight="1" x14ac:dyDescent="0.25">
      <c r="A16" s="30"/>
      <c r="B16" s="30"/>
      <c r="C16" s="30"/>
      <c r="D16" s="30"/>
      <c r="E16" s="30"/>
      <c r="F16" s="30"/>
      <c r="G16" s="30"/>
      <c r="H16" s="30"/>
      <c r="I16" s="46"/>
      <c r="K16" s="8"/>
      <c r="L16" s="8" t="s">
        <v>52</v>
      </c>
      <c r="M16" s="8"/>
      <c r="N16" s="8" t="s">
        <v>68</v>
      </c>
      <c r="O16" s="8"/>
      <c r="P16" s="8"/>
      <c r="Q16" s="8"/>
    </row>
    <row r="17" spans="1:21" x14ac:dyDescent="0.25">
      <c r="A17" s="29" t="s">
        <v>16</v>
      </c>
      <c r="B17" s="29" t="s">
        <v>23</v>
      </c>
      <c r="C17" s="29"/>
      <c r="D17" s="29" t="str">
        <f>IF(Results!B8="3-phase",(1.732*Results!C12*Calcs!D14)/(Calcs!E7*Calcs!H7*Results!I12)," ")</f>
        <v xml:space="preserve"> </v>
      </c>
      <c r="E17" s="29" t="s">
        <v>24</v>
      </c>
      <c r="F17" s="29"/>
      <c r="G17" s="29"/>
      <c r="H17" s="29"/>
      <c r="I17" s="73" t="s">
        <v>94</v>
      </c>
      <c r="K17" s="8"/>
      <c r="L17" s="8" t="e">
        <f>P8*LOG10(D25/1000)</f>
        <v>#VALUE!</v>
      </c>
      <c r="M17" s="8" t="s">
        <v>53</v>
      </c>
      <c r="N17" s="8">
        <f>P8*LOG10(D26/1000)</f>
        <v>0.19505168488101149</v>
      </c>
      <c r="O17" s="8"/>
      <c r="P17" s="8">
        <f>P8*IF(Results!B8="1-phase",LOG10(Calcs!D27/1000)," ")</f>
        <v>3.4117507791632688E-2</v>
      </c>
      <c r="Q17" s="8" t="s">
        <v>54</v>
      </c>
    </row>
    <row r="18" spans="1:21" x14ac:dyDescent="0.25">
      <c r="A18" s="9"/>
      <c r="B18" s="9"/>
      <c r="C18" s="9"/>
      <c r="D18" s="9">
        <f>IF(Results!B8="1-phase",(2*Results!C12*Calcs!D14)/(Calcs!E7*Calcs!H7*Results!I12)," ")</f>
        <v>4.3389218646950596</v>
      </c>
      <c r="E18" s="9" t="s">
        <v>25</v>
      </c>
      <c r="F18" s="9"/>
      <c r="G18" s="9"/>
      <c r="H18" s="9"/>
      <c r="I18" s="48"/>
      <c r="K18" s="8"/>
      <c r="L18" s="8">
        <f>P9*(M12/1000)</f>
        <v>2.3184E-2</v>
      </c>
      <c r="M18" s="8"/>
      <c r="N18" s="8">
        <f>P9*M12/1000</f>
        <v>2.3184E-2</v>
      </c>
      <c r="O18" s="8"/>
      <c r="P18" s="8">
        <f>P9*M13/1000</f>
        <v>1.1592E-2</v>
      </c>
      <c r="Q18" s="8"/>
    </row>
    <row r="19" spans="1:21" x14ac:dyDescent="0.25">
      <c r="A19" s="9"/>
      <c r="B19" s="9"/>
      <c r="C19" s="9"/>
      <c r="D19" s="9">
        <f>IF(Results!B8="1-phase",(2*Results!C12*Calcs!D15)/(Calcs!E7*Calcs!H7*((Results!I12)/2))," ")</f>
        <v>13.016765594085181</v>
      </c>
      <c r="E19" s="9" t="s">
        <v>26</v>
      </c>
      <c r="F19" s="9"/>
      <c r="G19" s="9"/>
      <c r="H19" s="9"/>
      <c r="I19" s="48"/>
      <c r="K19" s="8"/>
      <c r="L19" s="8">
        <f>P10*Results!D16</f>
        <v>6.8380000000000003E-3</v>
      </c>
      <c r="M19" s="8"/>
      <c r="N19" s="8">
        <f>P10*Results!D16</f>
        <v>6.8380000000000003E-3</v>
      </c>
      <c r="O19" s="8"/>
      <c r="P19" s="8">
        <f>P10*Results!D16</f>
        <v>6.8380000000000003E-3</v>
      </c>
      <c r="Q19" s="8"/>
    </row>
    <row r="20" spans="1:21" x14ac:dyDescent="0.25">
      <c r="A20" s="9"/>
      <c r="B20" s="9"/>
      <c r="C20" s="9"/>
      <c r="D20" s="9"/>
      <c r="E20" s="9"/>
      <c r="F20" s="9"/>
      <c r="G20" s="9"/>
      <c r="H20" s="9"/>
      <c r="I20" s="48"/>
      <c r="K20" s="8"/>
      <c r="L20" s="8" t="e">
        <f>P11*(M12/1000)*LOG10(D25/1000)</f>
        <v>#VALUE!</v>
      </c>
      <c r="M20" s="8"/>
      <c r="N20" s="8">
        <f>P11*(M12/1000)*LOG10(D26/1000)</f>
        <v>3.9514760668825089E-2</v>
      </c>
      <c r="O20" s="8"/>
      <c r="P20" s="8">
        <f>P11*(M13/1000)*LOG10(D27/1000)</f>
        <v>3.4558664689965579E-3</v>
      </c>
      <c r="Q20" s="8"/>
    </row>
    <row r="21" spans="1:21" x14ac:dyDescent="0.25">
      <c r="A21" s="29" t="s">
        <v>27</v>
      </c>
      <c r="B21" s="29"/>
      <c r="C21" s="29"/>
      <c r="D21" s="29" t="str">
        <f>IF(Results!B8="3-phase",1/(1+Calcs!D17)," ")</f>
        <v xml:space="preserve"> </v>
      </c>
      <c r="E21" s="29" t="s">
        <v>24</v>
      </c>
      <c r="F21" s="29"/>
      <c r="G21" s="29"/>
      <c r="H21" s="29"/>
      <c r="I21" s="73" t="s">
        <v>95</v>
      </c>
      <c r="K21" s="8"/>
      <c r="L21" s="8" t="e">
        <f>P12*Results!D16*LOG10(Calcs!D25)</f>
        <v>#VALUE!</v>
      </c>
      <c r="M21" s="8"/>
      <c r="N21" s="8">
        <f>P12*Results!D16*LOG10(Calcs!D26)</f>
        <v>-0.13020417309138604</v>
      </c>
      <c r="O21" s="8"/>
      <c r="P21" s="8">
        <f>P12*Results!D16*LOG10(Calcs!D27)</f>
        <v>-0.1205967430633313</v>
      </c>
      <c r="Q21" s="8"/>
    </row>
    <row r="22" spans="1:21" x14ac:dyDescent="0.25">
      <c r="A22" s="9"/>
      <c r="B22" s="9"/>
      <c r="C22" s="9"/>
      <c r="D22" s="9">
        <f>IF(Results!B8="1-phase",1/(1+Calcs!D18)," ")</f>
        <v>0.18730373385172522</v>
      </c>
      <c r="E22" s="9" t="s">
        <v>25</v>
      </c>
      <c r="F22" s="9"/>
      <c r="G22" s="9"/>
      <c r="H22" s="9"/>
      <c r="I22" s="48"/>
      <c r="K22" s="8"/>
      <c r="L22" s="8">
        <f>M8</f>
        <v>-9.7000000000000003E-2</v>
      </c>
      <c r="M22" s="8"/>
      <c r="N22" s="8">
        <f>M8</f>
        <v>-9.7000000000000003E-2</v>
      </c>
      <c r="O22" s="8"/>
      <c r="P22" s="8">
        <f>M8</f>
        <v>-9.7000000000000003E-2</v>
      </c>
      <c r="Q22" s="8"/>
    </row>
    <row r="23" spans="1:21" x14ac:dyDescent="0.25">
      <c r="A23" s="9"/>
      <c r="B23" s="9"/>
      <c r="C23" s="9"/>
      <c r="D23" s="9">
        <f>IF(Results!B8="1-phase",1/(1+D19)," ")</f>
        <v>7.1343134996991159E-2</v>
      </c>
      <c r="E23" s="9" t="s">
        <v>26</v>
      </c>
      <c r="F23" s="9"/>
      <c r="G23" s="9"/>
      <c r="H23" s="9"/>
      <c r="I23" s="48"/>
      <c r="K23" s="8"/>
      <c r="L23" s="8"/>
      <c r="M23" s="8"/>
      <c r="N23" s="8"/>
      <c r="O23" s="8"/>
      <c r="P23" s="8"/>
      <c r="Q23" s="8"/>
      <c r="R23" s="10"/>
      <c r="S23" s="10" t="s">
        <v>69</v>
      </c>
      <c r="T23" s="10"/>
      <c r="U23" s="10"/>
    </row>
    <row r="24" spans="1:21" x14ac:dyDescent="0.25">
      <c r="A24" s="9"/>
      <c r="B24" s="9"/>
      <c r="C24" s="9"/>
      <c r="D24" s="9"/>
      <c r="E24" s="9"/>
      <c r="F24" s="9"/>
      <c r="G24" s="9"/>
      <c r="H24" s="9"/>
      <c r="I24" s="48"/>
      <c r="K24" s="8" t="s">
        <v>57</v>
      </c>
      <c r="L24" s="8" t="e">
        <f>SUM(L17:L22)</f>
        <v>#VALUE!</v>
      </c>
      <c r="M24" s="8"/>
      <c r="N24" s="8">
        <f>SUM(N17:N22)</f>
        <v>3.7384272458450579E-2</v>
      </c>
      <c r="O24" s="8"/>
      <c r="P24" s="8">
        <f>SUM(P17:P22)</f>
        <v>-0.16159336880270206</v>
      </c>
      <c r="Q24" s="8"/>
      <c r="R24" s="10"/>
      <c r="S24" s="10" t="e">
        <f>0.00402+0.983*LOG10(D25/1000)</f>
        <v>#VALUE!</v>
      </c>
      <c r="T24" s="10">
        <f>0.00402+0.983*LOG10(D26/1000)</f>
        <v>0.29365112724778597</v>
      </c>
      <c r="U24" s="10">
        <f>0.00402+0.983*LOG10(D27/1000)</f>
        <v>5.4680891479116214E-2</v>
      </c>
    </row>
    <row r="25" spans="1:21" x14ac:dyDescent="0.25">
      <c r="A25" s="29" t="s">
        <v>28</v>
      </c>
      <c r="B25" s="29" t="s">
        <v>29</v>
      </c>
      <c r="C25" s="29"/>
      <c r="D25" s="29" t="str">
        <f>IF(Results!B8="3-phase",D14*D21," ")</f>
        <v xml:space="preserve"> </v>
      </c>
      <c r="E25" s="29" t="s">
        <v>24</v>
      </c>
      <c r="F25" s="29"/>
      <c r="G25" s="29"/>
      <c r="H25" s="29"/>
      <c r="I25" s="73" t="s">
        <v>96</v>
      </c>
      <c r="K25" s="8" t="s">
        <v>55</v>
      </c>
      <c r="L25" s="8" t="e">
        <f>10^L24</f>
        <v>#VALUE!</v>
      </c>
      <c r="M25" s="8"/>
      <c r="N25" s="8">
        <f>10^N24</f>
        <v>1.0898940268871302</v>
      </c>
      <c r="O25" s="8"/>
      <c r="P25" s="8">
        <f>10^P24</f>
        <v>0.68929738546161801</v>
      </c>
      <c r="Q25" s="8"/>
      <c r="R25" s="10"/>
      <c r="S25" s="10" t="e">
        <f>10^S24</f>
        <v>#VALUE!</v>
      </c>
      <c r="T25" s="10">
        <f t="shared" ref="T25:U25" si="0">10^T24</f>
        <v>1.9663061033226292</v>
      </c>
      <c r="U25" s="10">
        <f t="shared" si="0"/>
        <v>1.1341771449588718</v>
      </c>
    </row>
    <row r="26" spans="1:21" x14ac:dyDescent="0.25">
      <c r="A26" s="9"/>
      <c r="B26" s="9" t="s">
        <v>30</v>
      </c>
      <c r="C26" s="9"/>
      <c r="D26" s="9">
        <f>IF(Results!B8="1-phase",D14*D22," ")</f>
        <v>1970.7884454095665</v>
      </c>
      <c r="E26" s="9" t="s">
        <v>25</v>
      </c>
      <c r="F26" s="9"/>
      <c r="G26" s="9"/>
      <c r="H26" s="9"/>
      <c r="I26" s="48"/>
    </row>
    <row r="27" spans="1:21" x14ac:dyDescent="0.25">
      <c r="A27" s="9"/>
      <c r="B27" s="9"/>
      <c r="C27" s="9"/>
      <c r="D27" s="9">
        <f>IF(Results!B8="1-phase",D15*D23," ")</f>
        <v>1125.9964488161481</v>
      </c>
      <c r="E27" s="9" t="s">
        <v>26</v>
      </c>
      <c r="F27" s="9"/>
      <c r="G27" s="9"/>
      <c r="H27" s="9"/>
      <c r="I27" s="48"/>
      <c r="K27" t="s">
        <v>60</v>
      </c>
    </row>
    <row r="28" spans="1:21" x14ac:dyDescent="0.25">
      <c r="A28" s="30"/>
      <c r="B28" s="30"/>
      <c r="C28" s="30"/>
      <c r="D28" s="30"/>
      <c r="E28" s="30"/>
      <c r="F28" s="30"/>
      <c r="G28" s="30"/>
      <c r="H28" s="30"/>
      <c r="I28" s="46"/>
      <c r="K28" s="12"/>
      <c r="L28" s="12" t="s">
        <v>61</v>
      </c>
      <c r="M28" s="12"/>
      <c r="N28" s="12"/>
      <c r="O28" s="12"/>
      <c r="P28" s="12"/>
      <c r="Q28" s="12"/>
      <c r="R28" s="12"/>
      <c r="S28" s="12"/>
      <c r="T28" s="12"/>
      <c r="U28" s="12"/>
    </row>
    <row r="29" spans="1:21" x14ac:dyDescent="0.25">
      <c r="K29" s="12"/>
      <c r="L29" s="12" t="e">
        <f>1.081*L24</f>
        <v>#VALUE!</v>
      </c>
      <c r="M29" s="12"/>
      <c r="N29" s="12">
        <f>1.081*N24</f>
        <v>4.0412398527585075E-2</v>
      </c>
      <c r="O29" s="12"/>
      <c r="P29" s="12">
        <f>1.081*P24</f>
        <v>-0.17468243167572092</v>
      </c>
      <c r="Q29" s="12"/>
      <c r="R29" s="12"/>
      <c r="S29" s="12" t="e">
        <f>1.081*S24</f>
        <v>#VALUE!</v>
      </c>
      <c r="T29" s="12">
        <f>1.081*T24</f>
        <v>0.31743686855485664</v>
      </c>
      <c r="U29" s="12">
        <f>1.081*U24</f>
        <v>5.9110043688924627E-2</v>
      </c>
    </row>
    <row r="30" spans="1:21" x14ac:dyDescent="0.25">
      <c r="K30" s="12"/>
      <c r="L30" s="12">
        <f>0.0011*Results!D16</f>
        <v>1.43E-2</v>
      </c>
      <c r="M30" s="12"/>
      <c r="N30" s="12">
        <f>0.0011*Results!D16</f>
        <v>1.43E-2</v>
      </c>
      <c r="O30" s="12"/>
      <c r="P30" s="12">
        <f>0.0011*Results!D16</f>
        <v>1.43E-2</v>
      </c>
      <c r="Q30" s="12"/>
      <c r="R30" s="12"/>
      <c r="S30" s="12">
        <f>0.0011*Results!D16</f>
        <v>1.43E-2</v>
      </c>
      <c r="T30" s="12">
        <f>0.0011*Results!D16</f>
        <v>1.43E-2</v>
      </c>
      <c r="U30" s="12">
        <f>0.0011*Results!D16</f>
        <v>1.43E-2</v>
      </c>
    </row>
    <row r="31" spans="1:21" ht="15" customHeight="1" x14ac:dyDescent="0.25">
      <c r="A31" s="53" t="s">
        <v>98</v>
      </c>
      <c r="B31" s="53"/>
      <c r="C31" s="72"/>
      <c r="D31" s="2" t="s">
        <v>17</v>
      </c>
      <c r="E31" s="2"/>
      <c r="F31" s="2"/>
      <c r="K31" s="12"/>
      <c r="L31" s="12" t="s">
        <v>66</v>
      </c>
      <c r="M31" s="12"/>
      <c r="N31" s="12"/>
      <c r="O31" s="12"/>
      <c r="P31" s="12"/>
      <c r="Q31" s="12"/>
      <c r="R31" s="12"/>
      <c r="S31" s="12"/>
      <c r="T31" s="12"/>
      <c r="U31" s="12"/>
    </row>
    <row r="32" spans="1:21" x14ac:dyDescent="0.25">
      <c r="A32" s="53"/>
      <c r="B32" s="53"/>
      <c r="C32" s="72"/>
      <c r="D32">
        <f>14</f>
        <v>14</v>
      </c>
      <c r="E32" s="5">
        <v>389</v>
      </c>
      <c r="K32" s="12" t="s">
        <v>62</v>
      </c>
      <c r="L32" s="12" t="e">
        <f>M9+M10+L29+L30</f>
        <v>#VALUE!</v>
      </c>
      <c r="M32" s="12"/>
      <c r="N32" s="12">
        <f>M9+M10+N29+N30</f>
        <v>-0.61328760147241501</v>
      </c>
      <c r="O32" s="12"/>
      <c r="P32" s="12">
        <f>M9+M10+P29+P30</f>
        <v>-0.82838243167572101</v>
      </c>
      <c r="Q32" s="12"/>
      <c r="R32" s="12"/>
      <c r="S32" s="12" t="e">
        <f>M9+M10+S29+S30</f>
        <v>#VALUE!</v>
      </c>
      <c r="T32" s="12">
        <f>M9+M10+T29+T30</f>
        <v>-0.33626313144514342</v>
      </c>
      <c r="U32" s="12">
        <f>M9+M10+U29+U30</f>
        <v>-0.59458995631107547</v>
      </c>
    </row>
    <row r="33" spans="1:21" x14ac:dyDescent="0.25">
      <c r="A33" s="53"/>
      <c r="B33" s="53"/>
      <c r="C33" s="72"/>
      <c r="D33">
        <f>12</f>
        <v>12</v>
      </c>
      <c r="E33" s="5">
        <v>617</v>
      </c>
      <c r="K33" s="12" t="s">
        <v>63</v>
      </c>
      <c r="L33" s="12" t="e">
        <f>10^L32</f>
        <v>#VALUE!</v>
      </c>
      <c r="M33" s="12"/>
      <c r="N33" s="12">
        <f>10^N32</f>
        <v>0.24361969689838445</v>
      </c>
      <c r="O33" s="12"/>
      <c r="P33" s="12">
        <f>10^P32</f>
        <v>0.14846277308322839</v>
      </c>
      <c r="Q33" s="12" t="s">
        <v>64</v>
      </c>
      <c r="R33" s="12"/>
      <c r="S33" s="12" t="e">
        <f>10^S32</f>
        <v>#VALUE!</v>
      </c>
      <c r="T33" s="12">
        <f t="shared" ref="T33:U33" si="1">10^T32</f>
        <v>0.4610381549514142</v>
      </c>
      <c r="U33" s="12">
        <f t="shared" si="1"/>
        <v>0.25433729244904935</v>
      </c>
    </row>
    <row r="34" spans="1:21" x14ac:dyDescent="0.25">
      <c r="A34" s="53"/>
      <c r="B34" s="53"/>
      <c r="C34" s="72"/>
      <c r="D34">
        <f>10</f>
        <v>10</v>
      </c>
      <c r="E34" s="5">
        <v>981</v>
      </c>
      <c r="K34" s="12" t="s">
        <v>63</v>
      </c>
      <c r="L34" s="12" t="e">
        <f>L33/4.17</f>
        <v>#VALUE!</v>
      </c>
      <c r="M34" s="12"/>
      <c r="N34" s="12">
        <f>N33/4.17</f>
        <v>5.8421989663881166E-2</v>
      </c>
      <c r="O34" s="12"/>
      <c r="P34" s="12">
        <f>P33/4.17</f>
        <v>3.560258347319626E-2</v>
      </c>
      <c r="Q34" s="12" t="s">
        <v>65</v>
      </c>
      <c r="R34" s="12"/>
      <c r="S34" s="12" t="e">
        <f>S33/4.17</f>
        <v>#VALUE!</v>
      </c>
      <c r="T34" s="12">
        <f t="shared" ref="T34:U34" si="2">T33/4.17</f>
        <v>0.11056070862144225</v>
      </c>
      <c r="U34" s="12">
        <f t="shared" si="2"/>
        <v>6.0992156462601761E-2</v>
      </c>
    </row>
    <row r="35" spans="1:21" x14ac:dyDescent="0.25">
      <c r="A35" s="53"/>
      <c r="B35" s="53"/>
      <c r="C35" s="72"/>
      <c r="D35">
        <f>8</f>
        <v>8</v>
      </c>
      <c r="E35" s="5">
        <v>1557</v>
      </c>
      <c r="K35" s="12"/>
      <c r="L35" s="12"/>
      <c r="M35" s="12"/>
      <c r="N35" s="12"/>
      <c r="O35" s="12"/>
      <c r="P35" s="12"/>
      <c r="Q35" s="12"/>
      <c r="R35" s="12"/>
      <c r="S35" s="12"/>
      <c r="T35" s="12"/>
      <c r="U35" s="12"/>
    </row>
    <row r="36" spans="1:21" x14ac:dyDescent="0.25">
      <c r="A36" s="53"/>
      <c r="B36" s="53"/>
      <c r="C36" s="72"/>
      <c r="D36">
        <f>6</f>
        <v>6</v>
      </c>
      <c r="E36" s="5">
        <v>2425</v>
      </c>
      <c r="K36" s="12" t="s">
        <v>67</v>
      </c>
      <c r="L36" s="12" t="e">
        <f>4.184*M11*L33*(Results!C20/0.2)*610^(2)/(Results!I20)^(2)</f>
        <v>#VALUE!</v>
      </c>
      <c r="M36" s="12"/>
      <c r="N36" s="12">
        <f>4.184*M11*N33*(Results!C20/0.2)*610^(2)/(Results!I20)^(2)</f>
        <v>35.557811294932399</v>
      </c>
      <c r="O36" s="12"/>
      <c r="P36" s="12">
        <f>4.184*M11*P33*(Results!C20/0.2)*610^(2)/(Results!I20)^(2)</f>
        <v>21.669065912259626</v>
      </c>
      <c r="Q36" s="12" t="s">
        <v>64</v>
      </c>
      <c r="R36" s="12"/>
      <c r="S36" s="12" t="e">
        <f>4.184*M11*S33*(Results!C20/0.2)*610^(2)/(Results!I20)^(2)</f>
        <v>#VALUE!</v>
      </c>
      <c r="T36" s="12">
        <f>4.184*M11*T33*(Results!C20/0.2)*610^(2)/(Results!I20)^(2)</f>
        <v>67.291388677673467</v>
      </c>
      <c r="U36" s="12">
        <f>4.184*M11*U33*(Results!C20/0.2)*610^(2)/(Results!I20)^(2)</f>
        <v>37.122111082584247</v>
      </c>
    </row>
    <row r="37" spans="1:21" x14ac:dyDescent="0.25">
      <c r="A37" s="53"/>
      <c r="B37" s="53"/>
      <c r="C37" s="72"/>
      <c r="D37">
        <f>4</f>
        <v>4</v>
      </c>
      <c r="E37" s="5">
        <v>3806</v>
      </c>
      <c r="K37" s="12" t="s">
        <v>67</v>
      </c>
      <c r="L37" s="12" t="e">
        <f>L36/4.17</f>
        <v>#VALUE!</v>
      </c>
      <c r="M37" s="12"/>
      <c r="N37" s="12">
        <f>N36/4.17</f>
        <v>8.5270530683291135</v>
      </c>
      <c r="O37" s="12"/>
      <c r="P37" s="12">
        <f>P36/4.17</f>
        <v>5.1964186839951143</v>
      </c>
      <c r="Q37" s="12" t="s">
        <v>65</v>
      </c>
      <c r="R37" s="12"/>
      <c r="S37" s="12" t="e">
        <f>S36/4.17</f>
        <v>#VALUE!</v>
      </c>
      <c r="T37" s="12">
        <f t="shared" ref="T37:U37" si="3">T36/4.17</f>
        <v>16.137023663710664</v>
      </c>
      <c r="U37" s="12">
        <f t="shared" si="3"/>
        <v>8.902184911890707</v>
      </c>
    </row>
    <row r="38" spans="1:21" x14ac:dyDescent="0.25">
      <c r="A38" s="53"/>
      <c r="B38" s="53"/>
      <c r="C38" s="72"/>
      <c r="D38">
        <f>3</f>
        <v>3</v>
      </c>
      <c r="E38" s="5">
        <v>4774</v>
      </c>
      <c r="K38" s="12" t="s">
        <v>100</v>
      </c>
      <c r="L38" s="12" t="e">
        <f>L37*'Data Entry'!L31</f>
        <v>#VALUE!</v>
      </c>
      <c r="M38" s="12"/>
      <c r="N38" s="12">
        <f>N37*'Data Entry'!L31</f>
        <v>12.79057960249367</v>
      </c>
      <c r="O38" s="12"/>
      <c r="P38" s="12">
        <f>P37*'Data Entry'!L31</f>
        <v>7.7946280259926715</v>
      </c>
      <c r="Q38" s="12"/>
      <c r="R38" s="12"/>
      <c r="S38" s="12" t="e">
        <f>S37*'Data Entry'!L31</f>
        <v>#VALUE!</v>
      </c>
      <c r="T38" s="12">
        <f>T37*'Data Entry'!L31</f>
        <v>24.205535495565996</v>
      </c>
      <c r="U38" s="12">
        <f>U37*'Data Entry'!L31</f>
        <v>13.353277367836061</v>
      </c>
    </row>
    <row r="39" spans="1:21" x14ac:dyDescent="0.25">
      <c r="A39" s="53"/>
      <c r="B39" s="53"/>
      <c r="C39" s="72"/>
      <c r="D39">
        <f>2</f>
        <v>2</v>
      </c>
      <c r="E39" s="5">
        <v>5907</v>
      </c>
    </row>
    <row r="40" spans="1:21" x14ac:dyDescent="0.25">
      <c r="A40" s="53"/>
      <c r="B40" s="53"/>
      <c r="C40" s="72"/>
      <c r="D40">
        <f>1</f>
        <v>1</v>
      </c>
      <c r="E40" s="5">
        <v>7293</v>
      </c>
    </row>
    <row r="41" spans="1:21" x14ac:dyDescent="0.25">
      <c r="A41" s="53"/>
      <c r="B41" s="53"/>
      <c r="C41" s="72"/>
      <c r="D41" s="3" t="str">
        <f>"1/0"</f>
        <v>1/0</v>
      </c>
      <c r="E41" s="5">
        <v>8925</v>
      </c>
    </row>
    <row r="42" spans="1:21" x14ac:dyDescent="0.25">
      <c r="A42" s="53"/>
      <c r="B42" s="53"/>
      <c r="C42" s="72"/>
      <c r="D42" s="3" t="str">
        <f>"2/0"</f>
        <v>2/0</v>
      </c>
      <c r="E42" s="5">
        <v>10755</v>
      </c>
    </row>
  </sheetData>
  <sheetProtection algorithmName="SHA-512" hashValue="EW8jViRT11djj9gELOCEa6r7kyXhCxYV/ADrPwlBLX9xVN+W89obXVKvKTgzUN2wXuVMiZEYoqBPs7FTgIU9+g==" saltValue="rjoHSXbOPUbU54ACPLIBhw==" spinCount="100000" sheet="1" formatCells="0" formatColumns="0" formatRows="0" insertColumns="0" insertRows="0" insertHyperlinks="0" deleteColumns="0" deleteRows="0" sort="0" autoFilter="0" pivotTables="0"/>
  <mergeCells count="9">
    <mergeCell ref="A1:F5"/>
    <mergeCell ref="A31:C42"/>
    <mergeCell ref="K1:M6"/>
    <mergeCell ref="I10:I11"/>
    <mergeCell ref="I12:I13"/>
    <mergeCell ref="I14:I16"/>
    <mergeCell ref="I17:I20"/>
    <mergeCell ref="I21:I24"/>
    <mergeCell ref="I25:I28"/>
  </mergeCells>
  <pageMargins left="0.7" right="0.7" top="0.75" bottom="0.75" header="0.3" footer="0.3"/>
  <pageSetup scale="4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_x0020_Type xmlns="9c31f728-70c6-4561-924f-a86a4a3b8edb">Arc Flash Calculation Spreadsheet</Document_x0020_Typ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B7AB86A6FF6A8429B4EC2036BCC9ADB" ma:contentTypeVersion="2" ma:contentTypeDescription="Create a new document." ma:contentTypeScope="" ma:versionID="3266bcb84a22423928ec2be9a72ee93e">
  <xsd:schema xmlns:xsd="http://www.w3.org/2001/XMLSchema" xmlns:xs="http://www.w3.org/2001/XMLSchema" xmlns:p="http://schemas.microsoft.com/office/2006/metadata/properties" xmlns:ns1="http://schemas.microsoft.com/sharepoint/v3" xmlns:ns2="9c31f728-70c6-4561-924f-a86a4a3b8edb" targetNamespace="http://schemas.microsoft.com/office/2006/metadata/properties" ma:root="true" ma:fieldsID="3c3d1d79bbcca9a84ce1635f857d6811" ns1:_="" ns2:_="">
    <xsd:import namespace="http://schemas.microsoft.com/sharepoint/v3"/>
    <xsd:import namespace="9c31f728-70c6-4561-924f-a86a4a3b8edb"/>
    <xsd:element name="properties">
      <xsd:complexType>
        <xsd:sequence>
          <xsd:element name="documentManagement">
            <xsd:complexType>
              <xsd:all>
                <xsd:element ref="ns1:PublishingStartDate" minOccurs="0"/>
                <xsd:element ref="ns1:PublishingExpirationDate" minOccurs="0"/>
                <xsd:element ref="ns2:Document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1f728-70c6-4561-924f-a86a4a3b8edb" elementFormDefault="qualified">
    <xsd:import namespace="http://schemas.microsoft.com/office/2006/documentManagement/types"/>
    <xsd:import namespace="http://schemas.microsoft.com/office/infopath/2007/PartnerControls"/>
    <xsd:element name="Document_x0020_Type" ma:index="10" nillable="true" ma:displayName="Document Type" ma:default="ODOT Selective Coordination Spreadsheet" ma:format="Dropdown" ma:internalName="Document_x0020_Type">
      <xsd:simpleType>
        <xsd:restriction base="dms:Choice">
          <xsd:enumeration value="Drilled Shaft"/>
          <xsd:enumeration value="Detour Information"/>
          <xsd:enumeration value="Lighting Design Reference Packet"/>
          <xsd:enumeration value="ODOT Selective Coordination Spreadsheet"/>
          <xsd:enumeration value="Proprietary Product Approval Request"/>
          <xsd:enumeration value="Arc Flash Calculation Spreadshee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B6E869-1134-4705-BAB3-D1ABDFE43377}">
  <ds:schemaRefs>
    <ds:schemaRef ds:uri="http://schemas.microsoft.com/sharepoint/v3/contenttype/forms"/>
  </ds:schemaRefs>
</ds:datastoreItem>
</file>

<file path=customXml/itemProps2.xml><?xml version="1.0" encoding="utf-8"?>
<ds:datastoreItem xmlns:ds="http://schemas.openxmlformats.org/officeDocument/2006/customXml" ds:itemID="{D17F357B-8BC4-45B0-8D59-C5C10EB2088F}">
  <ds:schemaRefs>
    <ds:schemaRef ds:uri="http://schemas.microsoft.com/office/2006/documentManagement/types"/>
    <ds:schemaRef ds:uri="http://purl.org/dc/elements/1.1/"/>
    <ds:schemaRef ds:uri="http://schemas.microsoft.com/office/2006/metadata/properties"/>
    <ds:schemaRef ds:uri="http://schemas.microsoft.com/sharepoint/v3"/>
    <ds:schemaRef ds:uri="9c31f728-70c6-4561-924f-a86a4a3b8edb"/>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8305D80-2BD6-4032-BCD4-893E17A87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c31f728-70c6-4561-924f-a86a4a3b8e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README</vt:lpstr>
      <vt:lpstr>Data Entry</vt:lpstr>
      <vt:lpstr>Results</vt:lpstr>
      <vt:lpstr>Calcs</vt:lpstr>
      <vt:lpstr>README!Print_Area</vt:lpstr>
      <vt:lpstr>Results!Print_Area</vt:lpstr>
    </vt:vector>
  </TitlesOfParts>
  <Company>Ohio Dept.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ODOT Arc Flash Calculation Spreadsheet</dc:title>
  <dc:creator>Christopher John</dc:creator>
  <cp:lastModifiedBy>Buchanan, Nicholas</cp:lastModifiedBy>
  <cp:lastPrinted>2020-02-04T14:25:41Z</cp:lastPrinted>
  <dcterms:created xsi:type="dcterms:W3CDTF">2017-05-10T12:26:38Z</dcterms:created>
  <dcterms:modified xsi:type="dcterms:W3CDTF">2025-06-18T11:00:24Z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0x0101002B7AB86A6FF6A8429B4EC2036BCC9ADB</vt:lpwstr>
  </property>
</Properties>
</file>